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30"/>
  <workbookPr date1904="1" codeName="ThisWorkbook"/>
  <mc:AlternateContent xmlns:mc="http://schemas.openxmlformats.org/markup-compatibility/2006">
    <mc:Choice Requires="x15">
      <x15ac:absPath xmlns:x15ac="http://schemas.microsoft.com/office/spreadsheetml/2010/11/ac" url="/Users/hansthoresmedbold/Documents/0 Yrkeshygiene AS/Webinarer/EN-689/"/>
    </mc:Choice>
  </mc:AlternateContent>
  <xr:revisionPtr revIDLastSave="0" documentId="13_ncr:1_{7B0AA17D-C127-1543-B658-03C3C3640D5E}" xr6:coauthVersionLast="45" xr6:coauthVersionMax="45" xr10:uidLastSave="{00000000-0000-0000-0000-000000000000}"/>
  <workbookProtection workbookAlgorithmName="SHA-512" workbookHashValue="tVEBZ4Chc+y7y/JX2mWeQCRUpb//O8x/25sMeCVjj92ReaPDUU1t9K0diprXDLOWD780v0/EK5en35vjSspDlw==" workbookSaltValue="nKOhV2hor/6Ve/LZtQfCJA==" workbookSpinCount="100000" lockStructure="1"/>
  <bookViews>
    <workbookView xWindow="0" yWindow="460" windowWidth="33600" windowHeight="19320" activeTab="1" xr2:uid="{00000000-000D-0000-FFFF-FFFF00000000}"/>
  </bookViews>
  <sheets>
    <sheet name="START" sheetId="9" state="hidden" r:id="rId1"/>
    <sheet name="DATA" sheetId="5" r:id="rId2"/>
    <sheet name="STAT" sheetId="1" r:id="rId3"/>
    <sheet name="Lan" sheetId="10" state="hidden" r:id="rId4"/>
    <sheet name="TERM" sheetId="21" state="hidden" r:id="rId5"/>
    <sheet name="Cohen" sheetId="19" state="hidden" r:id="rId6"/>
    <sheet name="MLE" sheetId="11" state="hidden" r:id="rId7"/>
    <sheet name="Beta" sheetId="3" state="hidden" r:id="rId8"/>
    <sheet name="Tabeller beta - substitusjon" sheetId="4" state="hidden" r:id="rId9"/>
  </sheets>
  <definedNames>
    <definedName name="CDAmethod">STAT!$T$2:$W$7</definedName>
    <definedName name="Conclutions">Lan!$B$170:$E$190</definedName>
    <definedName name="DataGuideText">Lan!$A$205:$D$240</definedName>
    <definedName name="DataInCol_D">STAT!$R$9:$Y$59</definedName>
    <definedName name="DataText">Lan!$A$8:$D$59</definedName>
    <definedName name="English">Lan!$D$46:$D$48</definedName>
    <definedName name="EnglishCDM">Lan!$D$53:$D$57</definedName>
    <definedName name="fractionJ">STAT!$AK$34</definedName>
    <definedName name="GM_beta">Beta!$O$24</definedName>
    <definedName name="GMnotLOD">STAT!$O$460</definedName>
    <definedName name="GSD_beta">Beta!$O$28</definedName>
    <definedName name="GSDnotLOD">STAT!$O$458</definedName>
    <definedName name="GV">STAT!$D$6</definedName>
    <definedName name="J">STAT!$AQ$30</definedName>
    <definedName name="k">STAT!$BB$2</definedName>
    <definedName name="Lambda_table">Cohen!$A$4:$Y$25</definedName>
    <definedName name="Lang">DATA!$H$2</definedName>
    <definedName name="LangSelect">Lan!$A$2:$B$3</definedName>
    <definedName name="LnMeannotLOD">STAT!$O$459</definedName>
    <definedName name="M">STAT!$AB$7</definedName>
    <definedName name="MeasurednotLOD">STAT!$N$405:$N$454</definedName>
    <definedName name="Metode_substitusjon">STAT!$AD$31:$AE$34</definedName>
    <definedName name="N">STAT!$AB$6</definedName>
    <definedName name="Norsk">Lan!$C$46:$C$48</definedName>
    <definedName name="NorskCDM">Lan!$C$53:$C$57</definedName>
    <definedName name="_xlnm.Print_Area" localSheetId="1">DATA!$A$1:$I$47</definedName>
    <definedName name="_xlnm.Print_Area" localSheetId="2">STAT!$D$2:$AH$73</definedName>
    <definedName name="SdlnnotLOD">STAT!$O$457</definedName>
    <definedName name="SelectCDM">DATA!$H$18</definedName>
    <definedName name="SelectSTAT">Lan!A1:A3</definedName>
    <definedName name="solver_adj" localSheetId="6" hidden="1">MLE!$B$11:$B$12</definedName>
    <definedName name="solver_cvg" localSheetId="6" hidden="1">0.0001</definedName>
    <definedName name="solver_drv" localSheetId="6" hidden="1">1</definedName>
    <definedName name="solver_eng" localSheetId="6" hidden="1">1</definedName>
    <definedName name="solver_itr" localSheetId="6" hidden="1">100</definedName>
    <definedName name="solver_lin" localSheetId="6" hidden="1">2</definedName>
    <definedName name="solver_mip" localSheetId="6" hidden="1">2147483647</definedName>
    <definedName name="solver_mni" localSheetId="6" hidden="1">30</definedName>
    <definedName name="solver_mrt" localSheetId="6" hidden="1">0.075</definedName>
    <definedName name="solver_msl" localSheetId="6" hidden="1">2</definedName>
    <definedName name="solver_neg" localSheetId="6" hidden="1">2</definedName>
    <definedName name="solver_nod" localSheetId="6" hidden="1">2147483647</definedName>
    <definedName name="solver_num" localSheetId="6" hidden="1">0</definedName>
    <definedName name="solver_opt" localSheetId="6" hidden="1">MLE!$D$11</definedName>
    <definedName name="solver_pre" localSheetId="6" hidden="1">0.000001</definedName>
    <definedName name="solver_rbv" localSheetId="6" hidden="1">1</definedName>
    <definedName name="solver_rlx" localSheetId="6" hidden="1">1</definedName>
    <definedName name="solver_rsd" localSheetId="6" hidden="1">0</definedName>
    <definedName name="solver_scl" localSheetId="6" hidden="1">2</definedName>
    <definedName name="solver_sho" localSheetId="6" hidden="1">2</definedName>
    <definedName name="solver_ssz" localSheetId="6" hidden="1">100</definedName>
    <definedName name="solver_tim" localSheetId="6" hidden="1">100</definedName>
    <definedName name="solver_tol" localSheetId="6" hidden="1">0.05</definedName>
    <definedName name="solver_typ" localSheetId="6" hidden="1">1</definedName>
    <definedName name="solver_val" localSheetId="6" hidden="1">0</definedName>
    <definedName name="solver_ver" localSheetId="6" hidden="1">2</definedName>
    <definedName name="StatText">Lan!$A$62:$D$194</definedName>
    <definedName name="TrueFals">Lan!$C$146:$E$147</definedName>
    <definedName name="UsedCDM">DATA!$H$19</definedName>
    <definedName name="UsedStat">DATA!$H$16</definedName>
    <definedName name="velgSTAT">Lan!XFD1:XFD3</definedName>
    <definedName name="Z_4EE4166A_A743_EA44_9468_B79C8EBEBE02_.wvu.PrintArea" localSheetId="1" hidden="1">DATA!$A$1:$I$47</definedName>
    <definedName name="Z_4EE4166A_A743_EA44_9468_B79C8EBEBE02_.wvu.PrintArea" localSheetId="2" hidden="1">STAT!$D$2:$AH$73</definedName>
  </definedNames>
  <calcPr calcId="191029"/>
  <customWorkbookViews>
    <customWorkbookView name="Side 1: Målinger" guid="{4EE4166A-A743-EA44-9468-B79C8EBEBE02}" includeHiddenRowCol="0" maximized="1" yWindow="23" windowWidth="1920" windowHeight="1128"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4" i="1" l="1"/>
  <c r="AA27" i="1" l="1"/>
  <c r="B13" i="1" l="1"/>
  <c r="B14" i="1"/>
  <c r="L17" i="5" l="1"/>
  <c r="L15" i="5"/>
  <c r="L14" i="5"/>
  <c r="L13" i="5"/>
  <c r="L12" i="5"/>
  <c r="L11" i="5"/>
  <c r="L10" i="5"/>
  <c r="L8" i="5"/>
  <c r="L6" i="5"/>
  <c r="L4" i="5"/>
  <c r="L2" i="5"/>
  <c r="B15" i="1" l="1"/>
  <c r="C12" i="1"/>
  <c r="C14" i="1"/>
  <c r="F53" i="5"/>
  <c r="AD36" i="1"/>
  <c r="AD33" i="1"/>
  <c r="F59" i="5"/>
  <c r="B2" i="5" l="1"/>
  <c r="B6" i="1"/>
  <c r="F56" i="5"/>
  <c r="F49" i="5"/>
  <c r="S59" i="1"/>
  <c r="T59" i="1"/>
  <c r="X59" i="1"/>
  <c r="AA40" i="1"/>
  <c r="AA39" i="1"/>
  <c r="AA38" i="1"/>
  <c r="B53" i="19"/>
  <c r="C53" i="19" s="1"/>
  <c r="B54" i="19"/>
  <c r="C54" i="19" s="1"/>
  <c r="B55" i="19"/>
  <c r="C55" i="19" s="1"/>
  <c r="B56" i="19"/>
  <c r="C56" i="19" s="1"/>
  <c r="B57" i="19"/>
  <c r="C57" i="19" s="1"/>
  <c r="B58" i="19"/>
  <c r="C58" i="19" s="1"/>
  <c r="B59" i="19"/>
  <c r="C59" i="19" s="1"/>
  <c r="B60" i="19"/>
  <c r="C60" i="19" s="1"/>
  <c r="B61" i="19"/>
  <c r="C61" i="19" s="1"/>
  <c r="B62" i="19"/>
  <c r="C62" i="19" s="1"/>
  <c r="B63" i="19"/>
  <c r="C63" i="19" s="1"/>
  <c r="B64" i="19"/>
  <c r="C64" i="19" s="1"/>
  <c r="B65" i="19"/>
  <c r="C65" i="19" s="1"/>
  <c r="B66" i="19"/>
  <c r="C66" i="19" s="1"/>
  <c r="B67" i="19"/>
  <c r="C67" i="19" s="1"/>
  <c r="B68" i="19"/>
  <c r="C68" i="19" s="1"/>
  <c r="B69" i="19"/>
  <c r="C69" i="19" s="1"/>
  <c r="B70" i="19"/>
  <c r="C70" i="19" s="1"/>
  <c r="B71" i="19"/>
  <c r="C71" i="19" s="1"/>
  <c r="B72" i="19"/>
  <c r="C72" i="19" s="1"/>
  <c r="B73" i="19"/>
  <c r="C73" i="19" s="1"/>
  <c r="B74" i="19"/>
  <c r="C74" i="19" s="1"/>
  <c r="B75" i="19"/>
  <c r="C75" i="19" s="1"/>
  <c r="B76" i="19"/>
  <c r="C76" i="19" s="1"/>
  <c r="B77" i="19"/>
  <c r="C77" i="19" s="1"/>
  <c r="B78" i="19"/>
  <c r="C78" i="19" s="1"/>
  <c r="B79" i="19"/>
  <c r="C79" i="19" s="1"/>
  <c r="B80" i="19"/>
  <c r="C80" i="19" s="1"/>
  <c r="B81" i="19"/>
  <c r="C81" i="19" s="1"/>
  <c r="B82" i="19"/>
  <c r="C82" i="19" s="1"/>
  <c r="B83" i="19"/>
  <c r="C83" i="19" s="1"/>
  <c r="B84" i="19"/>
  <c r="C84" i="19" s="1"/>
  <c r="B85" i="19"/>
  <c r="C85" i="19" s="1"/>
  <c r="B86" i="19"/>
  <c r="C86" i="19" s="1"/>
  <c r="B87" i="19"/>
  <c r="C87" i="19" s="1"/>
  <c r="B88" i="19"/>
  <c r="C88" i="19" s="1"/>
  <c r="B89" i="19"/>
  <c r="C89" i="19" s="1"/>
  <c r="B90" i="19"/>
  <c r="C90" i="19" s="1"/>
  <c r="B91" i="19"/>
  <c r="C91" i="19" s="1"/>
  <c r="B92" i="19"/>
  <c r="C92" i="19" s="1"/>
  <c r="B93" i="19"/>
  <c r="C93" i="19" s="1"/>
  <c r="B94" i="19"/>
  <c r="C94" i="19" s="1"/>
  <c r="B95" i="19"/>
  <c r="C95" i="19" s="1"/>
  <c r="B96" i="19"/>
  <c r="C96" i="19" s="1"/>
  <c r="B97" i="19"/>
  <c r="C97" i="19" s="1"/>
  <c r="B98" i="19"/>
  <c r="C98" i="19" s="1"/>
  <c r="B99" i="19"/>
  <c r="C99" i="19" s="1"/>
  <c r="B100" i="19"/>
  <c r="C100" i="19" s="1"/>
  <c r="B101" i="19"/>
  <c r="C101" i="19" s="1"/>
  <c r="B102" i="19"/>
  <c r="A103" i="19"/>
  <c r="B52" i="19"/>
  <c r="C52" i="19" s="1"/>
  <c r="AA32" i="1"/>
  <c r="B41" i="19" l="1"/>
  <c r="B31" i="19"/>
  <c r="G18" i="5" l="1"/>
  <c r="G70" i="11"/>
  <c r="A23" i="11" l="1"/>
  <c r="X12" i="1"/>
  <c r="B16" i="11"/>
  <c r="B15" i="11" l="1"/>
  <c r="B14" i="11" l="1"/>
  <c r="B13" i="11"/>
  <c r="I2" i="5" l="1"/>
  <c r="C17" i="1"/>
  <c r="B25" i="11" s="1"/>
  <c r="C18" i="1"/>
  <c r="B26" i="11" s="1"/>
  <c r="C19" i="1"/>
  <c r="B27" i="11" s="1"/>
  <c r="C20" i="1"/>
  <c r="B28" i="11" s="1"/>
  <c r="C21" i="1"/>
  <c r="B29" i="11" s="1"/>
  <c r="C22" i="1"/>
  <c r="B30" i="11" s="1"/>
  <c r="C23" i="1"/>
  <c r="B31" i="11" s="1"/>
  <c r="C24" i="1"/>
  <c r="B32" i="11" s="1"/>
  <c r="Y59" i="1" l="1"/>
  <c r="B17" i="1" l="1"/>
  <c r="B18" i="1"/>
  <c r="AA45" i="1"/>
  <c r="A26" i="11" l="1"/>
  <c r="C26" i="11" s="1"/>
  <c r="G26" i="11" s="1"/>
  <c r="D16" i="3"/>
  <c r="S15" i="1"/>
  <c r="T15" i="1"/>
  <c r="X15" i="1"/>
  <c r="A25" i="11"/>
  <c r="C25" i="11" s="1"/>
  <c r="G25" i="11" s="1"/>
  <c r="S14" i="1"/>
  <c r="T14" i="1"/>
  <c r="X14" i="1"/>
  <c r="D15" i="3"/>
  <c r="AA44" i="1"/>
  <c r="B19" i="1"/>
  <c r="AF19" i="1"/>
  <c r="G33" i="5" s="1"/>
  <c r="F37" i="5"/>
  <c r="AA21" i="1"/>
  <c r="AR34" i="1"/>
  <c r="AR35" i="1"/>
  <c r="AR36" i="1"/>
  <c r="AR37" i="1"/>
  <c r="AR33" i="1"/>
  <c r="AM34" i="1"/>
  <c r="AM35" i="1"/>
  <c r="AM36" i="1"/>
  <c r="AM37" i="1"/>
  <c r="AM33" i="1"/>
  <c r="AJ33" i="1"/>
  <c r="AJ34" i="1"/>
  <c r="AJ30" i="1"/>
  <c r="AJ31" i="1"/>
  <c r="AJ29" i="1"/>
  <c r="AJ28" i="1"/>
  <c r="AD35" i="1"/>
  <c r="AD38" i="1"/>
  <c r="AD34" i="1"/>
  <c r="AD32" i="1"/>
  <c r="AD30" i="1"/>
  <c r="AD24" i="1"/>
  <c r="AD25" i="1"/>
  <c r="AD26" i="1"/>
  <c r="AD27" i="1"/>
  <c r="AD23" i="1"/>
  <c r="AD19" i="1"/>
  <c r="AD18" i="1"/>
  <c r="AD14" i="1"/>
  <c r="AD15" i="1"/>
  <c r="AD16" i="1"/>
  <c r="AD13" i="1"/>
  <c r="AF10" i="1"/>
  <c r="AF11" i="1"/>
  <c r="AF9" i="1"/>
  <c r="AD9" i="1"/>
  <c r="AD8" i="1"/>
  <c r="AD6" i="1"/>
  <c r="AD5" i="1"/>
  <c r="AA42" i="1"/>
  <c r="AA35" i="1"/>
  <c r="AA41" i="1"/>
  <c r="AA33" i="1"/>
  <c r="AA34" i="1"/>
  <c r="AA31" i="1"/>
  <c r="AA22" i="1"/>
  <c r="AA24" i="1"/>
  <c r="AA25" i="1"/>
  <c r="AA7" i="1"/>
  <c r="AA8" i="1"/>
  <c r="AA9" i="1"/>
  <c r="AA10" i="1"/>
  <c r="AA11" i="1"/>
  <c r="AA12" i="1"/>
  <c r="AA13" i="1"/>
  <c r="AA14" i="1"/>
  <c r="AA15" i="1"/>
  <c r="AA16" i="1"/>
  <c r="AA17" i="1"/>
  <c r="AA18" i="1"/>
  <c r="AA6" i="1"/>
  <c r="AA37" i="1"/>
  <c r="AA30" i="1"/>
  <c r="AA20" i="1"/>
  <c r="C8" i="1"/>
  <c r="D8" i="1"/>
  <c r="B8" i="1"/>
  <c r="B5" i="1"/>
  <c r="AA3" i="1"/>
  <c r="AA2" i="1"/>
  <c r="E152" i="10"/>
  <c r="E153" i="10"/>
  <c r="E154" i="10"/>
  <c r="E155" i="10"/>
  <c r="E156" i="10"/>
  <c r="E157" i="10"/>
  <c r="E158" i="10"/>
  <c r="E159" i="10"/>
  <c r="E160" i="10"/>
  <c r="E161" i="10"/>
  <c r="E162" i="10"/>
  <c r="E163" i="10"/>
  <c r="E164" i="10"/>
  <c r="E165" i="10"/>
  <c r="E166" i="10"/>
  <c r="E167" i="10"/>
  <c r="E151" i="10"/>
  <c r="F150" i="10"/>
  <c r="F55" i="5"/>
  <c r="F52" i="5"/>
  <c r="F51" i="5"/>
  <c r="F45" i="5"/>
  <c r="F44" i="5"/>
  <c r="F36" i="5"/>
  <c r="F38" i="5"/>
  <c r="F39" i="5"/>
  <c r="F40" i="5"/>
  <c r="F41" i="5"/>
  <c r="F35" i="5"/>
  <c r="F32" i="5"/>
  <c r="F26" i="5"/>
  <c r="F27" i="5"/>
  <c r="F28" i="5"/>
  <c r="F29" i="5"/>
  <c r="F25" i="5"/>
  <c r="G22" i="5"/>
  <c r="G23" i="5"/>
  <c r="G21" i="5"/>
  <c r="F21" i="5"/>
  <c r="F33" i="5" s="1"/>
  <c r="F20" i="5"/>
  <c r="F19" i="5"/>
  <c r="G16" i="5"/>
  <c r="F6" i="5"/>
  <c r="D9" i="5"/>
  <c r="B9" i="5"/>
  <c r="D6" i="5"/>
  <c r="B6" i="5"/>
  <c r="B4" i="5"/>
  <c r="B3" i="5"/>
  <c r="D26" i="11" l="1"/>
  <c r="F26" i="11" s="1"/>
  <c r="D25" i="11"/>
  <c r="F25" i="11" s="1"/>
  <c r="A27" i="11"/>
  <c r="C27" i="11" s="1"/>
  <c r="G27" i="11" s="1"/>
  <c r="X16" i="1"/>
  <c r="S16" i="1"/>
  <c r="D17" i="3"/>
  <c r="T16" i="1"/>
  <c r="C13" i="1"/>
  <c r="B21" i="11" s="1"/>
  <c r="B22" i="11"/>
  <c r="C15" i="1"/>
  <c r="C16" i="1"/>
  <c r="O119" i="1"/>
  <c r="O120" i="1"/>
  <c r="O121" i="1"/>
  <c r="O122" i="1"/>
  <c r="B16" i="1"/>
  <c r="B12" i="1"/>
  <c r="D27" i="11" l="1"/>
  <c r="F27" i="11" s="1"/>
  <c r="D10" i="3"/>
  <c r="X9" i="1"/>
  <c r="T9" i="1"/>
  <c r="S9" i="1"/>
  <c r="B23" i="11"/>
  <c r="C23" i="11" s="1"/>
  <c r="G23" i="11" s="1"/>
  <c r="S12" i="1"/>
  <c r="D13" i="3"/>
  <c r="T12" i="1"/>
  <c r="A24" i="11"/>
  <c r="X13" i="1"/>
  <c r="D14" i="3"/>
  <c r="S13" i="1"/>
  <c r="T13" i="1"/>
  <c r="O118" i="1"/>
  <c r="B24" i="11"/>
  <c r="D24" i="11" s="1"/>
  <c r="F24" i="11" s="1"/>
  <c r="O114" i="1"/>
  <c r="B20" i="11"/>
  <c r="O115" i="1"/>
  <c r="A20" i="11"/>
  <c r="O117" i="1"/>
  <c r="O116" i="1"/>
  <c r="O123" i="1"/>
  <c r="O124" i="1"/>
  <c r="O125" i="1"/>
  <c r="O126" i="1"/>
  <c r="C25" i="1"/>
  <c r="B33" i="11" s="1"/>
  <c r="C26" i="1"/>
  <c r="C27" i="1"/>
  <c r="B35" i="11" s="1"/>
  <c r="C28" i="1"/>
  <c r="C29" i="1"/>
  <c r="C30" i="1"/>
  <c r="C31" i="1"/>
  <c r="C32" i="1"/>
  <c r="C33" i="1"/>
  <c r="C34" i="1"/>
  <c r="C35" i="1"/>
  <c r="C36" i="1"/>
  <c r="C37" i="1"/>
  <c r="C38" i="1"/>
  <c r="C39" i="1"/>
  <c r="C40" i="1"/>
  <c r="B48" i="11" s="1"/>
  <c r="C41" i="1"/>
  <c r="B49" i="11" s="1"/>
  <c r="C42" i="1"/>
  <c r="C43" i="1"/>
  <c r="C44" i="1"/>
  <c r="C45" i="1"/>
  <c r="C46" i="1"/>
  <c r="C47" i="1"/>
  <c r="C48" i="1"/>
  <c r="C49" i="1"/>
  <c r="C50" i="1"/>
  <c r="C51" i="1"/>
  <c r="C52" i="1"/>
  <c r="C53" i="1"/>
  <c r="C54" i="1"/>
  <c r="C55" i="1"/>
  <c r="C56" i="1"/>
  <c r="C57" i="1"/>
  <c r="C58" i="1"/>
  <c r="C59" i="1"/>
  <c r="C60" i="1"/>
  <c r="C61"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AB6" i="1" l="1"/>
  <c r="D23" i="11"/>
  <c r="F23" i="11" s="1"/>
  <c r="D58" i="3"/>
  <c r="S57" i="1"/>
  <c r="T57" i="1"/>
  <c r="X57" i="1"/>
  <c r="X32" i="1"/>
  <c r="D33" i="3"/>
  <c r="T32" i="1"/>
  <c r="S32" i="1"/>
  <c r="X24" i="1"/>
  <c r="S24" i="1"/>
  <c r="D25" i="3"/>
  <c r="T24" i="1"/>
  <c r="T11" i="1"/>
  <c r="S11" i="1"/>
  <c r="X11" i="1"/>
  <c r="D12" i="3"/>
  <c r="A28" i="11"/>
  <c r="D18" i="3"/>
  <c r="S17" i="1"/>
  <c r="T17" i="1"/>
  <c r="X17" i="1"/>
  <c r="S23" i="1"/>
  <c r="T23" i="1"/>
  <c r="X23" i="1"/>
  <c r="D24" i="3"/>
  <c r="D26" i="3"/>
  <c r="S25" i="1"/>
  <c r="T25" i="1"/>
  <c r="X25" i="1"/>
  <c r="S55" i="1"/>
  <c r="T55" i="1"/>
  <c r="X55" i="1"/>
  <c r="D56" i="3"/>
  <c r="S31" i="1"/>
  <c r="T31" i="1"/>
  <c r="D32" i="3"/>
  <c r="X31" i="1"/>
  <c r="S38" i="1"/>
  <c r="T38" i="1"/>
  <c r="X38" i="1"/>
  <c r="D39" i="3"/>
  <c r="S22" i="1"/>
  <c r="T22" i="1"/>
  <c r="X22" i="1"/>
  <c r="D23" i="3"/>
  <c r="D34" i="3"/>
  <c r="S33" i="1"/>
  <c r="T33" i="1"/>
  <c r="X33" i="1"/>
  <c r="X56" i="1"/>
  <c r="T56" i="1"/>
  <c r="S56" i="1"/>
  <c r="D57" i="3"/>
  <c r="A21" i="11"/>
  <c r="C21" i="11" s="1"/>
  <c r="G21" i="11" s="1"/>
  <c r="D11" i="3"/>
  <c r="X10" i="1"/>
  <c r="S10" i="1"/>
  <c r="T10" i="1"/>
  <c r="S46" i="1"/>
  <c r="T46" i="1"/>
  <c r="X46" i="1"/>
  <c r="D47" i="3"/>
  <c r="S30" i="1"/>
  <c r="T30" i="1"/>
  <c r="X30" i="1"/>
  <c r="D31" i="3"/>
  <c r="D54" i="3"/>
  <c r="X53" i="1"/>
  <c r="S53" i="1"/>
  <c r="T53" i="1"/>
  <c r="T45" i="1"/>
  <c r="D46" i="3"/>
  <c r="X45" i="1"/>
  <c r="S45" i="1"/>
  <c r="X37" i="1"/>
  <c r="D38" i="3"/>
  <c r="S37" i="1"/>
  <c r="T37" i="1"/>
  <c r="T29" i="1"/>
  <c r="X29" i="1"/>
  <c r="D30" i="3"/>
  <c r="S29" i="1"/>
  <c r="X21" i="1"/>
  <c r="D22" i="3"/>
  <c r="S21" i="1"/>
  <c r="T21" i="1"/>
  <c r="D42" i="3"/>
  <c r="S41" i="1"/>
  <c r="T41" i="1"/>
  <c r="X41" i="1"/>
  <c r="X40" i="1"/>
  <c r="S40" i="1"/>
  <c r="D41" i="3"/>
  <c r="T40" i="1"/>
  <c r="S44" i="1"/>
  <c r="D45" i="3"/>
  <c r="T44" i="1"/>
  <c r="X44" i="1"/>
  <c r="X48" i="1"/>
  <c r="T48" i="1"/>
  <c r="S48" i="1"/>
  <c r="D49" i="3"/>
  <c r="S39" i="1"/>
  <c r="D40" i="3"/>
  <c r="T39" i="1"/>
  <c r="X39" i="1"/>
  <c r="S54" i="1"/>
  <c r="T54" i="1"/>
  <c r="X54" i="1"/>
  <c r="D55" i="3"/>
  <c r="S36" i="1"/>
  <c r="D37" i="3"/>
  <c r="T36" i="1"/>
  <c r="X36" i="1"/>
  <c r="S20" i="1"/>
  <c r="D21" i="3"/>
  <c r="T20" i="1"/>
  <c r="X20" i="1"/>
  <c r="T51" i="1"/>
  <c r="X51" i="1"/>
  <c r="D52" i="3"/>
  <c r="S51" i="1"/>
  <c r="T43" i="1"/>
  <c r="X43" i="1"/>
  <c r="S43" i="1"/>
  <c r="D44" i="3"/>
  <c r="T35" i="1"/>
  <c r="S35" i="1"/>
  <c r="X35" i="1"/>
  <c r="D36" i="3"/>
  <c r="T27" i="1"/>
  <c r="S27" i="1"/>
  <c r="X27" i="1"/>
  <c r="D28" i="3"/>
  <c r="T19" i="1"/>
  <c r="S19" i="1"/>
  <c r="X19" i="1"/>
  <c r="D20" i="3"/>
  <c r="D50" i="3"/>
  <c r="S49" i="1"/>
  <c r="T49" i="1"/>
  <c r="X49" i="1"/>
  <c r="D48" i="3"/>
  <c r="S47" i="1"/>
  <c r="T47" i="1"/>
  <c r="X47" i="1"/>
  <c r="S52" i="1"/>
  <c r="D53" i="3"/>
  <c r="T52" i="1"/>
  <c r="X52" i="1"/>
  <c r="S28" i="1"/>
  <c r="D29" i="3"/>
  <c r="T28" i="1"/>
  <c r="X28" i="1"/>
  <c r="D59" i="3"/>
  <c r="X58" i="1"/>
  <c r="S58" i="1"/>
  <c r="T58" i="1"/>
  <c r="D51" i="3"/>
  <c r="X50" i="1"/>
  <c r="S50" i="1"/>
  <c r="T50" i="1"/>
  <c r="D43" i="3"/>
  <c r="S42" i="1"/>
  <c r="T42" i="1"/>
  <c r="X42" i="1"/>
  <c r="D35" i="3"/>
  <c r="X34" i="1"/>
  <c r="S34" i="1"/>
  <c r="T34" i="1"/>
  <c r="D27" i="3"/>
  <c r="S26" i="1"/>
  <c r="T26" i="1"/>
  <c r="X26" i="1"/>
  <c r="A29" i="11"/>
  <c r="C29" i="11" s="1"/>
  <c r="G29" i="11" s="1"/>
  <c r="D19" i="3"/>
  <c r="X18" i="1"/>
  <c r="S18" i="1"/>
  <c r="T18" i="1"/>
  <c r="A51" i="11"/>
  <c r="A66" i="11"/>
  <c r="A58" i="11"/>
  <c r="A50" i="11"/>
  <c r="A42" i="11"/>
  <c r="F42" i="11" s="1"/>
  <c r="A34" i="11"/>
  <c r="A35" i="11"/>
  <c r="A65" i="11"/>
  <c r="A49" i="11"/>
  <c r="D49" i="11" s="1"/>
  <c r="A41" i="11"/>
  <c r="A33" i="11"/>
  <c r="D33" i="11" s="1"/>
  <c r="A48" i="11"/>
  <c r="D48" i="11" s="1"/>
  <c r="A32" i="11"/>
  <c r="D32" i="11" s="1"/>
  <c r="F32" i="11" s="1"/>
  <c r="A64" i="11"/>
  <c r="F64" i="11" s="1"/>
  <c r="A56" i="11"/>
  <c r="A40" i="11"/>
  <c r="A63" i="11"/>
  <c r="A55" i="11"/>
  <c r="A47" i="11"/>
  <c r="A39" i="11"/>
  <c r="A31" i="11"/>
  <c r="D31" i="11" s="1"/>
  <c r="F31" i="11" s="1"/>
  <c r="A67" i="11"/>
  <c r="A57" i="11"/>
  <c r="A62" i="11"/>
  <c r="A54" i="11"/>
  <c r="F54" i="11" s="1"/>
  <c r="A46" i="11"/>
  <c r="A38" i="11"/>
  <c r="A30" i="11"/>
  <c r="C30" i="11" s="1"/>
  <c r="A59" i="11"/>
  <c r="F59" i="11" s="1"/>
  <c r="A69" i="11"/>
  <c r="A53" i="11"/>
  <c r="A37" i="11"/>
  <c r="A43" i="11"/>
  <c r="A61" i="11"/>
  <c r="A45" i="11"/>
  <c r="A68" i="11"/>
  <c r="A60" i="11"/>
  <c r="A52" i="11"/>
  <c r="A44" i="11"/>
  <c r="A36" i="11"/>
  <c r="C24" i="11"/>
  <c r="G24" i="11" s="1"/>
  <c r="O145" i="1"/>
  <c r="B51" i="11"/>
  <c r="O137" i="1"/>
  <c r="B43" i="11"/>
  <c r="O161" i="1"/>
  <c r="B67" i="11"/>
  <c r="O153" i="1"/>
  <c r="B59" i="11"/>
  <c r="O160" i="1"/>
  <c r="B66" i="11"/>
  <c r="O152" i="1"/>
  <c r="B58" i="11"/>
  <c r="O144" i="1"/>
  <c r="B50" i="11"/>
  <c r="O136" i="1"/>
  <c r="B42" i="11"/>
  <c r="O128" i="1"/>
  <c r="B34" i="11"/>
  <c r="C28" i="11"/>
  <c r="G28" i="11" s="1"/>
  <c r="D28" i="11"/>
  <c r="F28" i="11" s="1"/>
  <c r="O159" i="1"/>
  <c r="B65" i="11"/>
  <c r="O151" i="1"/>
  <c r="B57" i="11"/>
  <c r="O135" i="1"/>
  <c r="B41" i="11"/>
  <c r="O134" i="1"/>
  <c r="B40" i="11"/>
  <c r="A22" i="11"/>
  <c r="O157" i="1"/>
  <c r="B63" i="11"/>
  <c r="O149" i="1"/>
  <c r="B55" i="11"/>
  <c r="O141" i="1"/>
  <c r="B47" i="11"/>
  <c r="O133" i="1"/>
  <c r="B39" i="11"/>
  <c r="O156" i="1"/>
  <c r="B62" i="11"/>
  <c r="O148" i="1"/>
  <c r="B54" i="11"/>
  <c r="O140" i="1"/>
  <c r="B46" i="11"/>
  <c r="O132" i="1"/>
  <c r="B38" i="11"/>
  <c r="O158" i="1"/>
  <c r="B64" i="11"/>
  <c r="O150" i="1"/>
  <c r="B56" i="11"/>
  <c r="O163" i="1"/>
  <c r="B69" i="11"/>
  <c r="D69" i="11" s="1"/>
  <c r="O155" i="1"/>
  <c r="B61" i="11"/>
  <c r="O147" i="1"/>
  <c r="B53" i="11"/>
  <c r="O139" i="1"/>
  <c r="B45" i="11"/>
  <c r="O131" i="1"/>
  <c r="B37" i="11"/>
  <c r="O162" i="1"/>
  <c r="B68" i="11"/>
  <c r="O154" i="1"/>
  <c r="B60" i="11"/>
  <c r="O146" i="1"/>
  <c r="B52" i="11"/>
  <c r="O138" i="1"/>
  <c r="B44" i="11"/>
  <c r="O130" i="1"/>
  <c r="B36" i="11"/>
  <c r="O142" i="1"/>
  <c r="O143" i="1"/>
  <c r="O127" i="1"/>
  <c r="O129" i="1"/>
  <c r="C20" i="11"/>
  <c r="G20" i="11" s="1"/>
  <c r="D20" i="11"/>
  <c r="F20" i="11" s="1"/>
  <c r="R59" i="1"/>
  <c r="W59" i="1"/>
  <c r="U59" i="1"/>
  <c r="V59" i="1"/>
  <c r="AB7" i="1" l="1"/>
  <c r="D21" i="11"/>
  <c r="F21" i="11" s="1"/>
  <c r="D42" i="11"/>
  <c r="D29" i="11"/>
  <c r="F29" i="11" s="1"/>
  <c r="D59" i="11"/>
  <c r="D54" i="11"/>
  <c r="D64" i="11"/>
  <c r="F43" i="11"/>
  <c r="G49" i="11"/>
  <c r="G62" i="11"/>
  <c r="F49" i="11"/>
  <c r="F41" i="11"/>
  <c r="G54" i="11"/>
  <c r="D61" i="11"/>
  <c r="F61" i="11" s="1"/>
  <c r="C49" i="11"/>
  <c r="D63" i="11"/>
  <c r="F63" i="11" s="1"/>
  <c r="F52" i="11"/>
  <c r="G67" i="11"/>
  <c r="F60" i="11"/>
  <c r="D41" i="11"/>
  <c r="G44" i="11"/>
  <c r="D51" i="11"/>
  <c r="F51" i="11" s="1"/>
  <c r="C31" i="11"/>
  <c r="G31" i="11" s="1"/>
  <c r="C32" i="11"/>
  <c r="G32" i="11" s="1"/>
  <c r="G60" i="11"/>
  <c r="G43" i="11"/>
  <c r="C60" i="11"/>
  <c r="D43" i="11"/>
  <c r="C59" i="11"/>
  <c r="G59" i="11" s="1"/>
  <c r="C51" i="11"/>
  <c r="G51" i="11" s="1"/>
  <c r="D65" i="11"/>
  <c r="F65" i="11" s="1"/>
  <c r="F69" i="11"/>
  <c r="C39" i="11"/>
  <c r="G39" i="11" s="1"/>
  <c r="C33" i="11"/>
  <c r="G33" i="11" s="1"/>
  <c r="C56" i="11"/>
  <c r="C58" i="11"/>
  <c r="G58" i="11" s="1"/>
  <c r="D35" i="11"/>
  <c r="F35" i="11" s="1"/>
  <c r="C63" i="11"/>
  <c r="G63" i="11" s="1"/>
  <c r="F62" i="11"/>
  <c r="F67" i="11"/>
  <c r="D58" i="11"/>
  <c r="F58" i="11" s="1"/>
  <c r="C43" i="11"/>
  <c r="D50" i="11"/>
  <c r="F50" i="11" s="1"/>
  <c r="D40" i="11"/>
  <c r="F40" i="11" s="1"/>
  <c r="D37" i="11"/>
  <c r="F37" i="11" s="1"/>
  <c r="G48" i="11"/>
  <c r="D36" i="11"/>
  <c r="F36" i="11" s="1"/>
  <c r="D68" i="11"/>
  <c r="G61" i="11"/>
  <c r="D39" i="11"/>
  <c r="F39" i="11" s="1"/>
  <c r="F48" i="11"/>
  <c r="C62" i="11"/>
  <c r="C44" i="11"/>
  <c r="D45" i="11"/>
  <c r="F45" i="11" s="1"/>
  <c r="C48" i="11"/>
  <c r="F33" i="11"/>
  <c r="C52" i="11"/>
  <c r="G52" i="11" s="1"/>
  <c r="D53" i="11"/>
  <c r="G56" i="11"/>
  <c r="C35" i="11"/>
  <c r="G35" i="11" s="1"/>
  <c r="G41" i="11"/>
  <c r="C67" i="11"/>
  <c r="D34" i="11"/>
  <c r="F34" i="11" s="1"/>
  <c r="C66" i="11"/>
  <c r="G66" i="11" s="1"/>
  <c r="D67" i="11"/>
  <c r="C38" i="11"/>
  <c r="G38" i="11" s="1"/>
  <c r="C47" i="11"/>
  <c r="G47" i="11" s="1"/>
  <c r="C46" i="11"/>
  <c r="G46" i="11" s="1"/>
  <c r="D55" i="11"/>
  <c r="F55" i="11" s="1"/>
  <c r="F53" i="11"/>
  <c r="D56" i="11"/>
  <c r="F56" i="11" s="1"/>
  <c r="D57" i="11"/>
  <c r="F57" i="11" s="1"/>
  <c r="G30" i="11"/>
  <c r="D30" i="11"/>
  <c r="F30" i="11" s="1"/>
  <c r="F68" i="11"/>
  <c r="C34" i="11"/>
  <c r="G34" i="11" s="1"/>
  <c r="C42" i="11"/>
  <c r="G42" i="11" s="1"/>
  <c r="D66" i="11"/>
  <c r="F66" i="11" s="1"/>
  <c r="D46" i="11"/>
  <c r="F46" i="11" s="1"/>
  <c r="D47" i="11"/>
  <c r="F47" i="11" s="1"/>
  <c r="C36" i="11"/>
  <c r="G36" i="11" s="1"/>
  <c r="C65" i="11"/>
  <c r="G65" i="11" s="1"/>
  <c r="C68" i="11"/>
  <c r="G68" i="11" s="1"/>
  <c r="C54" i="11"/>
  <c r="C50" i="11"/>
  <c r="G50" i="11" s="1"/>
  <c r="D52" i="11"/>
  <c r="C64" i="11"/>
  <c r="G64" i="11" s="1"/>
  <c r="C53" i="11"/>
  <c r="G53" i="11" s="1"/>
  <c r="C69" i="11"/>
  <c r="G69" i="11" s="1"/>
  <c r="C55" i="11"/>
  <c r="G55" i="11" s="1"/>
  <c r="C37" i="11"/>
  <c r="G37" i="11" s="1"/>
  <c r="D62" i="11"/>
  <c r="D44" i="11"/>
  <c r="F44" i="11" s="1"/>
  <c r="C40" i="11"/>
  <c r="G40" i="11" s="1"/>
  <c r="C57" i="11"/>
  <c r="G57" i="11" s="1"/>
  <c r="C22" i="11"/>
  <c r="G22" i="11" s="1"/>
  <c r="D22" i="11"/>
  <c r="F22" i="11" s="1"/>
  <c r="D60" i="11"/>
  <c r="C45" i="11"/>
  <c r="G45" i="11" s="1"/>
  <c r="C61" i="11"/>
  <c r="D38" i="11"/>
  <c r="F38" i="11" s="1"/>
  <c r="C41" i="11"/>
  <c r="D6" i="1" l="1"/>
  <c r="M59" i="1"/>
  <c r="I11" i="11"/>
  <c r="D11" i="11"/>
  <c r="B5" i="11"/>
  <c r="B7" i="11" s="1"/>
  <c r="B6" i="11"/>
  <c r="B8" i="11" s="1"/>
  <c r="B116" i="1"/>
  <c r="M116" i="1" s="1"/>
  <c r="B117" i="1"/>
  <c r="M117" i="1" s="1"/>
  <c r="B118" i="1"/>
  <c r="M118" i="1" s="1"/>
  <c r="B119" i="1"/>
  <c r="M119" i="1" s="1"/>
  <c r="B120" i="1"/>
  <c r="M120" i="1" s="1"/>
  <c r="B121" i="1"/>
  <c r="M121" i="1" s="1"/>
  <c r="B122" i="1"/>
  <c r="M122" i="1" s="1"/>
  <c r="B123" i="1"/>
  <c r="M123" i="1" s="1"/>
  <c r="B115" i="1" l="1"/>
  <c r="M115" i="1" s="1"/>
  <c r="C56" i="3"/>
  <c r="C57" i="3"/>
  <c r="I57" i="3" s="1"/>
  <c r="R56" i="1" s="1"/>
  <c r="C58" i="3"/>
  <c r="I58" i="3" s="1"/>
  <c r="R57" i="1" s="1"/>
  <c r="C59" i="3"/>
  <c r="C11" i="3"/>
  <c r="C12" i="3"/>
  <c r="C13" i="3"/>
  <c r="C14" i="3"/>
  <c r="C15" i="3"/>
  <c r="C16" i="3"/>
  <c r="C17" i="3"/>
  <c r="C18" i="3"/>
  <c r="C19" i="3"/>
  <c r="C20" i="3"/>
  <c r="C21" i="3"/>
  <c r="C22" i="3"/>
  <c r="C23" i="3"/>
  <c r="C24" i="3"/>
  <c r="C25" i="3"/>
  <c r="C26" i="3"/>
  <c r="C27" i="3"/>
  <c r="I27" i="3" s="1"/>
  <c r="R26" i="1" s="1"/>
  <c r="C28" i="3"/>
  <c r="C29" i="3"/>
  <c r="C30" i="3"/>
  <c r="C31" i="3"/>
  <c r="C32" i="3"/>
  <c r="C33" i="3"/>
  <c r="I33" i="3" s="1"/>
  <c r="R32" i="1" s="1"/>
  <c r="C34" i="3"/>
  <c r="I34" i="3" s="1"/>
  <c r="R33" i="1" s="1"/>
  <c r="C35" i="3"/>
  <c r="I35" i="3" s="1"/>
  <c r="R34" i="1" s="1"/>
  <c r="C36" i="3"/>
  <c r="C37" i="3"/>
  <c r="C38" i="3"/>
  <c r="C39" i="3"/>
  <c r="C40" i="3"/>
  <c r="C41" i="3"/>
  <c r="I41" i="3" s="1"/>
  <c r="R40" i="1" s="1"/>
  <c r="C42" i="3"/>
  <c r="I42" i="3" s="1"/>
  <c r="R41" i="1" s="1"/>
  <c r="C43" i="3"/>
  <c r="C44" i="3"/>
  <c r="C45" i="3"/>
  <c r="C46" i="3"/>
  <c r="C47" i="3"/>
  <c r="C48" i="3"/>
  <c r="C49" i="3"/>
  <c r="I49" i="3" s="1"/>
  <c r="R48" i="1" s="1"/>
  <c r="C50" i="3"/>
  <c r="I50" i="3" s="1"/>
  <c r="R49" i="1" s="1"/>
  <c r="C51" i="3"/>
  <c r="I51" i="3" s="1"/>
  <c r="R50" i="1" s="1"/>
  <c r="C52" i="3"/>
  <c r="I52" i="3" s="1"/>
  <c r="R51" i="1" s="1"/>
  <c r="C53" i="3"/>
  <c r="C54" i="3"/>
  <c r="C55" i="3"/>
  <c r="C10" i="3"/>
  <c r="P35" i="4"/>
  <c r="O35" i="4"/>
  <c r="N35" i="4"/>
  <c r="M35" i="4"/>
  <c r="L35" i="4"/>
  <c r="K35" i="4"/>
  <c r="H35" i="4"/>
  <c r="H5" i="4" s="1"/>
  <c r="P5" i="4" s="1"/>
  <c r="G35" i="4"/>
  <c r="F35" i="4"/>
  <c r="F5" i="4" s="1"/>
  <c r="N5" i="4" s="1"/>
  <c r="E35" i="4"/>
  <c r="E5" i="4" s="1"/>
  <c r="M5" i="4" s="1"/>
  <c r="D35" i="4"/>
  <c r="D5" i="4" s="1"/>
  <c r="L5" i="4" s="1"/>
  <c r="C35" i="4"/>
  <c r="C5" i="4" s="1"/>
  <c r="K5" i="4" s="1"/>
  <c r="J6" i="4"/>
  <c r="J7" i="4" s="1"/>
  <c r="J8" i="4" s="1"/>
  <c r="J9" i="4" s="1"/>
  <c r="J10" i="4" s="1"/>
  <c r="J11" i="4" s="1"/>
  <c r="J12" i="4" s="1"/>
  <c r="J13" i="4" s="1"/>
  <c r="J14" i="4" s="1"/>
  <c r="J15" i="4" s="1"/>
  <c r="J16" i="4" s="1"/>
  <c r="J17" i="4" s="1"/>
  <c r="J18" i="4" s="1"/>
  <c r="J19" i="4" s="1"/>
  <c r="J20" i="4" s="1"/>
  <c r="J21" i="4" s="1"/>
  <c r="J22" i="4" s="1"/>
  <c r="J23" i="4" s="1"/>
  <c r="J24" i="4" s="1"/>
  <c r="J25" i="4" s="1"/>
  <c r="J26" i="4" s="1"/>
  <c r="J27" i="4" s="1"/>
  <c r="J28" i="4" s="1"/>
  <c r="J29" i="4" s="1"/>
  <c r="J30" i="4" s="1"/>
  <c r="J31" i="4" s="1"/>
  <c r="J32" i="4" s="1"/>
  <c r="J33" i="4" s="1"/>
  <c r="B6" i="4"/>
  <c r="B164" i="1"/>
  <c r="M164" i="1" s="1"/>
  <c r="B163" i="1"/>
  <c r="M163" i="1" s="1"/>
  <c r="B162" i="1"/>
  <c r="M162" i="1" s="1"/>
  <c r="B161" i="1"/>
  <c r="M161" i="1" s="1"/>
  <c r="B160" i="1"/>
  <c r="M160" i="1" s="1"/>
  <c r="B159" i="1"/>
  <c r="M159" i="1" s="1"/>
  <c r="B158" i="1"/>
  <c r="M158" i="1" s="1"/>
  <c r="B157" i="1"/>
  <c r="M157" i="1" s="1"/>
  <c r="B156" i="1"/>
  <c r="M156" i="1" s="1"/>
  <c r="B155" i="1"/>
  <c r="M155" i="1" s="1"/>
  <c r="B154" i="1"/>
  <c r="M154" i="1" s="1"/>
  <c r="B153" i="1"/>
  <c r="M153" i="1" s="1"/>
  <c r="B152" i="1"/>
  <c r="M152" i="1" s="1"/>
  <c r="B151" i="1"/>
  <c r="M151" i="1" s="1"/>
  <c r="B150" i="1"/>
  <c r="M150" i="1" s="1"/>
  <c r="B149" i="1"/>
  <c r="M149" i="1" s="1"/>
  <c r="B148" i="1"/>
  <c r="M148" i="1" s="1"/>
  <c r="B147" i="1"/>
  <c r="M147" i="1" s="1"/>
  <c r="B146" i="1"/>
  <c r="M146" i="1" s="1"/>
  <c r="B145" i="1"/>
  <c r="M145" i="1" s="1"/>
  <c r="B144" i="1"/>
  <c r="M144" i="1" s="1"/>
  <c r="B143" i="1"/>
  <c r="M143" i="1" s="1"/>
  <c r="B142" i="1"/>
  <c r="M142" i="1" s="1"/>
  <c r="B141" i="1"/>
  <c r="M141" i="1" s="1"/>
  <c r="B140" i="1"/>
  <c r="M140" i="1" s="1"/>
  <c r="B139" i="1"/>
  <c r="M139" i="1" s="1"/>
  <c r="B138" i="1"/>
  <c r="M138" i="1" s="1"/>
  <c r="B137" i="1"/>
  <c r="M137" i="1" s="1"/>
  <c r="B136" i="1"/>
  <c r="M136" i="1" s="1"/>
  <c r="B135" i="1"/>
  <c r="M135" i="1" s="1"/>
  <c r="B134" i="1"/>
  <c r="M134" i="1" s="1"/>
  <c r="B133" i="1"/>
  <c r="M133" i="1" s="1"/>
  <c r="B132" i="1"/>
  <c r="M132" i="1" s="1"/>
  <c r="B131" i="1"/>
  <c r="M131" i="1" s="1"/>
  <c r="B130" i="1"/>
  <c r="M130" i="1" s="1"/>
  <c r="B129" i="1"/>
  <c r="M129" i="1" s="1"/>
  <c r="B128" i="1"/>
  <c r="M128" i="1" s="1"/>
  <c r="B127" i="1"/>
  <c r="M127" i="1" s="1"/>
  <c r="B126" i="1"/>
  <c r="M126" i="1" s="1"/>
  <c r="B125" i="1"/>
  <c r="M125" i="1" s="1"/>
  <c r="B124" i="1"/>
  <c r="M124" i="1" s="1"/>
  <c r="B114" i="1"/>
  <c r="M114" i="1" s="1"/>
  <c r="I26" i="3" l="1"/>
  <c r="R25" i="1" s="1"/>
  <c r="E6" i="4"/>
  <c r="I53" i="3"/>
  <c r="R52" i="1" s="1"/>
  <c r="I45" i="3"/>
  <c r="R44" i="1" s="1"/>
  <c r="I37" i="3"/>
  <c r="R36" i="1" s="1"/>
  <c r="I29" i="3"/>
  <c r="R28" i="1" s="1"/>
  <c r="I40" i="3"/>
  <c r="R39" i="1" s="1"/>
  <c r="I24" i="3"/>
  <c r="R23" i="1" s="1"/>
  <c r="I32" i="3"/>
  <c r="R31" i="1" s="1"/>
  <c r="I48" i="3"/>
  <c r="R47" i="1" s="1"/>
  <c r="I47" i="3"/>
  <c r="R46" i="1" s="1"/>
  <c r="I54" i="3"/>
  <c r="R53" i="1" s="1"/>
  <c r="I46" i="3"/>
  <c r="R45" i="1" s="1"/>
  <c r="I30" i="3"/>
  <c r="R29" i="1" s="1"/>
  <c r="I55" i="3"/>
  <c r="R54" i="1" s="1"/>
  <c r="I31" i="3"/>
  <c r="R30" i="1" s="1"/>
  <c r="I22" i="3"/>
  <c r="R21" i="1" s="1"/>
  <c r="H56" i="3"/>
  <c r="V55" i="1" s="1"/>
  <c r="I56" i="3"/>
  <c r="R55" i="1" s="1"/>
  <c r="H44" i="3"/>
  <c r="V43" i="1" s="1"/>
  <c r="I44" i="3"/>
  <c r="R43" i="1" s="1"/>
  <c r="H36" i="3"/>
  <c r="V35" i="1" s="1"/>
  <c r="I36" i="3"/>
  <c r="R35" i="1" s="1"/>
  <c r="H28" i="3"/>
  <c r="V27" i="1" s="1"/>
  <c r="I28" i="3"/>
  <c r="R27" i="1" s="1"/>
  <c r="I43" i="3"/>
  <c r="R42" i="1" s="1"/>
  <c r="H59" i="3"/>
  <c r="V58" i="1" s="1"/>
  <c r="I59" i="3"/>
  <c r="R58" i="1" s="1"/>
  <c r="F52" i="3"/>
  <c r="E51" i="3"/>
  <c r="F27" i="3"/>
  <c r="F35" i="3"/>
  <c r="E19" i="3"/>
  <c r="E45" i="3"/>
  <c r="E37" i="3"/>
  <c r="E29" i="3"/>
  <c r="E21" i="3"/>
  <c r="F12" i="3"/>
  <c r="E54" i="3"/>
  <c r="E46" i="3"/>
  <c r="E38" i="3"/>
  <c r="E30" i="3"/>
  <c r="E22" i="3"/>
  <c r="D4" i="3"/>
  <c r="E10" i="3"/>
  <c r="F6" i="4"/>
  <c r="N6" i="4" s="1"/>
  <c r="D6" i="4"/>
  <c r="L6" i="4" s="1"/>
  <c r="B7" i="4"/>
  <c r="G6" i="4"/>
  <c r="O6" i="4" s="1"/>
  <c r="E55" i="3"/>
  <c r="E47" i="3"/>
  <c r="E39" i="3"/>
  <c r="E31" i="3"/>
  <c r="E23" i="3"/>
  <c r="E15" i="3"/>
  <c r="C6" i="4"/>
  <c r="E57" i="3"/>
  <c r="F48" i="3"/>
  <c r="F24" i="3"/>
  <c r="F16" i="3"/>
  <c r="L54" i="3"/>
  <c r="W53" i="1" s="1"/>
  <c r="L53" i="3"/>
  <c r="W52" i="1" s="1"/>
  <c r="F11" i="3"/>
  <c r="L47" i="3"/>
  <c r="W46" i="1" s="1"/>
  <c r="L29" i="3"/>
  <c r="W28" i="1" s="1"/>
  <c r="L30" i="3"/>
  <c r="W29" i="1" s="1"/>
  <c r="L46" i="3"/>
  <c r="W45" i="1" s="1"/>
  <c r="L45" i="3"/>
  <c r="W44" i="1" s="1"/>
  <c r="L22" i="3"/>
  <c r="W21" i="1" s="1"/>
  <c r="F49" i="3"/>
  <c r="L31" i="3"/>
  <c r="W30" i="1" s="1"/>
  <c r="H53" i="3"/>
  <c r="V52" i="1" s="1"/>
  <c r="L55" i="3"/>
  <c r="W54" i="1" s="1"/>
  <c r="L37" i="3"/>
  <c r="W36" i="1" s="1"/>
  <c r="F17" i="3"/>
  <c r="F50" i="3"/>
  <c r="F18" i="3"/>
  <c r="E58" i="3"/>
  <c r="F42" i="3"/>
  <c r="F34" i="3"/>
  <c r="F26" i="3"/>
  <c r="E48" i="3"/>
  <c r="E40" i="3"/>
  <c r="E32" i="3"/>
  <c r="E24" i="3"/>
  <c r="E16" i="3"/>
  <c r="F57" i="3"/>
  <c r="E12" i="3"/>
  <c r="E52" i="3"/>
  <c r="F41" i="3"/>
  <c r="L52" i="3"/>
  <c r="W51" i="1" s="1"/>
  <c r="L44" i="3"/>
  <c r="W43" i="1" s="1"/>
  <c r="L36" i="3"/>
  <c r="W35" i="1" s="1"/>
  <c r="L28" i="3"/>
  <c r="W27" i="1" s="1"/>
  <c r="E44" i="3"/>
  <c r="F40" i="3"/>
  <c r="F56" i="3"/>
  <c r="L51" i="3"/>
  <c r="W50" i="1" s="1"/>
  <c r="L43" i="3"/>
  <c r="W42" i="1" s="1"/>
  <c r="L35" i="3"/>
  <c r="W34" i="1" s="1"/>
  <c r="L27" i="3"/>
  <c r="W26" i="1" s="1"/>
  <c r="L59" i="3"/>
  <c r="W58" i="1" s="1"/>
  <c r="E36" i="3"/>
  <c r="F33" i="3"/>
  <c r="L50" i="3"/>
  <c r="W49" i="1" s="1"/>
  <c r="L42" i="3"/>
  <c r="W41" i="1" s="1"/>
  <c r="L34" i="3"/>
  <c r="W33" i="1" s="1"/>
  <c r="L26" i="3"/>
  <c r="W25" i="1" s="1"/>
  <c r="L58" i="3"/>
  <c r="W57" i="1" s="1"/>
  <c r="J52" i="3"/>
  <c r="U51" i="1" s="1"/>
  <c r="E28" i="3"/>
  <c r="F32" i="3"/>
  <c r="H58" i="3"/>
  <c r="V57" i="1" s="1"/>
  <c r="L49" i="3"/>
  <c r="W48" i="1" s="1"/>
  <c r="L41" i="3"/>
  <c r="W40" i="1" s="1"/>
  <c r="L33" i="3"/>
  <c r="W32" i="1" s="1"/>
  <c r="L57" i="3"/>
  <c r="W56" i="1" s="1"/>
  <c r="E20" i="3"/>
  <c r="F25" i="3"/>
  <c r="L48" i="3"/>
  <c r="W47" i="1" s="1"/>
  <c r="L40" i="3"/>
  <c r="W39" i="1" s="1"/>
  <c r="L32" i="3"/>
  <c r="W31" i="1" s="1"/>
  <c r="L24" i="3"/>
  <c r="W23" i="1" s="1"/>
  <c r="L56" i="3"/>
  <c r="W55" i="1" s="1"/>
  <c r="H51" i="3"/>
  <c r="V50" i="1" s="1"/>
  <c r="J27" i="3"/>
  <c r="U26" i="1" s="1"/>
  <c r="E27" i="3"/>
  <c r="J50" i="3"/>
  <c r="U49" i="1" s="1"/>
  <c r="J42" i="3"/>
  <c r="U41" i="1" s="1"/>
  <c r="J34" i="3"/>
  <c r="U33" i="1" s="1"/>
  <c r="J26" i="3"/>
  <c r="U25" i="1" s="1"/>
  <c r="E50" i="3"/>
  <c r="E42" i="3"/>
  <c r="E34" i="3"/>
  <c r="E26" i="3"/>
  <c r="E18" i="3"/>
  <c r="F10" i="3"/>
  <c r="F47" i="3"/>
  <c r="F39" i="3"/>
  <c r="F31" i="3"/>
  <c r="F23" i="3"/>
  <c r="F15" i="3"/>
  <c r="E56" i="3"/>
  <c r="H49" i="3"/>
  <c r="V48" i="1" s="1"/>
  <c r="H41" i="3"/>
  <c r="V40" i="1" s="1"/>
  <c r="H33" i="3"/>
  <c r="V32" i="1" s="1"/>
  <c r="J57" i="3"/>
  <c r="U56" i="1" s="1"/>
  <c r="H55" i="3"/>
  <c r="V54" i="1" s="1"/>
  <c r="H35" i="3"/>
  <c r="V34" i="1" s="1"/>
  <c r="J51" i="3"/>
  <c r="U50" i="1" s="1"/>
  <c r="E35" i="3"/>
  <c r="J49" i="3"/>
  <c r="U48" i="1" s="1"/>
  <c r="J41" i="3"/>
  <c r="U40" i="1" s="1"/>
  <c r="J33" i="3"/>
  <c r="U32" i="1" s="1"/>
  <c r="E49" i="3"/>
  <c r="E41" i="3"/>
  <c r="E33" i="3"/>
  <c r="E25" i="3"/>
  <c r="E17" i="3"/>
  <c r="F54" i="3"/>
  <c r="F46" i="3"/>
  <c r="F38" i="3"/>
  <c r="F30" i="3"/>
  <c r="F22" i="3"/>
  <c r="F14" i="3"/>
  <c r="F55" i="3"/>
  <c r="H48" i="3"/>
  <c r="V47" i="1" s="1"/>
  <c r="H40" i="3"/>
  <c r="V39" i="1" s="1"/>
  <c r="H32" i="3"/>
  <c r="V31" i="1" s="1"/>
  <c r="H24" i="3"/>
  <c r="V23" i="1" s="1"/>
  <c r="H52" i="3"/>
  <c r="V51" i="1" s="1"/>
  <c r="H27" i="3"/>
  <c r="V26" i="1" s="1"/>
  <c r="J40" i="3"/>
  <c r="U39" i="1" s="1"/>
  <c r="F53" i="3"/>
  <c r="F45" i="3"/>
  <c r="F37" i="3"/>
  <c r="F29" i="3"/>
  <c r="F21" i="3"/>
  <c r="F13" i="3"/>
  <c r="H47" i="3"/>
  <c r="V46" i="1" s="1"/>
  <c r="H31" i="3"/>
  <c r="V30" i="1" s="1"/>
  <c r="H57" i="3"/>
  <c r="V56" i="1" s="1"/>
  <c r="F59" i="3"/>
  <c r="H43" i="3"/>
  <c r="V42" i="1" s="1"/>
  <c r="J35" i="3"/>
  <c r="U34" i="1" s="1"/>
  <c r="E43" i="3"/>
  <c r="E11" i="3"/>
  <c r="H26" i="3"/>
  <c r="V25" i="1" s="1"/>
  <c r="J47" i="3"/>
  <c r="U46" i="1" s="1"/>
  <c r="F44" i="3"/>
  <c r="F36" i="3"/>
  <c r="F28" i="3"/>
  <c r="F20" i="3"/>
  <c r="H46" i="3"/>
  <c r="V45" i="1" s="1"/>
  <c r="H30" i="3"/>
  <c r="V29" i="1" s="1"/>
  <c r="H22" i="3"/>
  <c r="V21" i="1" s="1"/>
  <c r="H54" i="3"/>
  <c r="V53" i="1" s="1"/>
  <c r="E59" i="3"/>
  <c r="H34" i="3"/>
  <c r="V33" i="1" s="1"/>
  <c r="J46" i="3"/>
  <c r="U45" i="1" s="1"/>
  <c r="J30" i="3"/>
  <c r="U29" i="1" s="1"/>
  <c r="E14" i="3"/>
  <c r="F51" i="3"/>
  <c r="F43" i="3"/>
  <c r="F19" i="3"/>
  <c r="H45" i="3"/>
  <c r="V44" i="1" s="1"/>
  <c r="H37" i="3"/>
  <c r="V36" i="1" s="1"/>
  <c r="H29" i="3"/>
  <c r="V28" i="1" s="1"/>
  <c r="J53" i="3"/>
  <c r="U52" i="1" s="1"/>
  <c r="F58" i="3"/>
  <c r="H50" i="3"/>
  <c r="V49" i="1" s="1"/>
  <c r="H42" i="3"/>
  <c r="V41" i="1" s="1"/>
  <c r="J45" i="3"/>
  <c r="U44" i="1" s="1"/>
  <c r="J29" i="3"/>
  <c r="U28" i="1" s="1"/>
  <c r="E53" i="3"/>
  <c r="E13" i="3"/>
  <c r="J58" i="3"/>
  <c r="U57" i="1" s="1"/>
  <c r="D3" i="3"/>
  <c r="D6" i="3"/>
  <c r="M6" i="4"/>
  <c r="G5" i="4"/>
  <c r="O5" i="4" s="1"/>
  <c r="H6" i="4"/>
  <c r="P6" i="4" s="1"/>
  <c r="K6" i="4"/>
  <c r="F7" i="4"/>
  <c r="N7" i="4" s="1"/>
  <c r="H9" i="1"/>
  <c r="J9" i="1" s="1"/>
  <c r="H10" i="1"/>
  <c r="J10" i="1" s="1"/>
  <c r="H11" i="1"/>
  <c r="J11" i="1" s="1"/>
  <c r="H12" i="1"/>
  <c r="J12" i="1" s="1"/>
  <c r="H13" i="1"/>
  <c r="J13" i="1" s="1"/>
  <c r="H14" i="1"/>
  <c r="J14" i="1" s="1"/>
  <c r="H15" i="1"/>
  <c r="J15" i="1" s="1"/>
  <c r="H16" i="1"/>
  <c r="J16" i="1" s="1"/>
  <c r="H17" i="1"/>
  <c r="J17" i="1" s="1"/>
  <c r="H18" i="1"/>
  <c r="J18" i="1" s="1"/>
  <c r="H19" i="1"/>
  <c r="J19" i="1" s="1"/>
  <c r="H20" i="1"/>
  <c r="J20" i="1" s="1"/>
  <c r="H21" i="1"/>
  <c r="J21" i="1" s="1"/>
  <c r="N68" i="1"/>
  <c r="AI123" i="1"/>
  <c r="D164" i="1"/>
  <c r="L164" i="1" s="1"/>
  <c r="M245" i="1"/>
  <c r="D405" i="1"/>
  <c r="J32" i="3" l="1"/>
  <c r="U31" i="1" s="1"/>
  <c r="J37" i="3"/>
  <c r="U36" i="1" s="1"/>
  <c r="J31" i="3"/>
  <c r="U30" i="1" s="1"/>
  <c r="J55" i="3"/>
  <c r="U54" i="1" s="1"/>
  <c r="J44" i="3"/>
  <c r="U43" i="1" s="1"/>
  <c r="J24" i="3"/>
  <c r="U23" i="1" s="1"/>
  <c r="J59" i="3"/>
  <c r="U58" i="1" s="1"/>
  <c r="J56" i="3"/>
  <c r="U55" i="1" s="1"/>
  <c r="J43" i="3"/>
  <c r="U42" i="1" s="1"/>
  <c r="J54" i="3"/>
  <c r="U53" i="1" s="1"/>
  <c r="J28" i="3"/>
  <c r="U27" i="1" s="1"/>
  <c r="J36" i="3"/>
  <c r="U35" i="1" s="1"/>
  <c r="J48" i="3"/>
  <c r="U47" i="1" s="1"/>
  <c r="J22" i="3"/>
  <c r="U21" i="1" s="1"/>
  <c r="N245" i="1"/>
  <c r="L160" i="1"/>
  <c r="L148" i="1"/>
  <c r="L144" i="1"/>
  <c r="L163" i="1"/>
  <c r="L159" i="1"/>
  <c r="L155" i="1"/>
  <c r="L151" i="1"/>
  <c r="L147" i="1"/>
  <c r="L143" i="1"/>
  <c r="L139" i="1"/>
  <c r="L152" i="1"/>
  <c r="L140" i="1"/>
  <c r="L162" i="1"/>
  <c r="L158" i="1"/>
  <c r="L154" i="1"/>
  <c r="L150" i="1"/>
  <c r="L146" i="1"/>
  <c r="L142" i="1"/>
  <c r="L156" i="1"/>
  <c r="L161" i="1"/>
  <c r="L157" i="1"/>
  <c r="L153" i="1"/>
  <c r="L149" i="1"/>
  <c r="L145" i="1"/>
  <c r="L141" i="1"/>
  <c r="L117" i="1"/>
  <c r="L116" i="1"/>
  <c r="L115" i="1"/>
  <c r="L114" i="1"/>
  <c r="L138" i="1"/>
  <c r="L130" i="1"/>
  <c r="L121" i="1"/>
  <c r="L133" i="1"/>
  <c r="L136" i="1"/>
  <c r="L132" i="1"/>
  <c r="L128" i="1"/>
  <c r="L124" i="1"/>
  <c r="L129" i="1"/>
  <c r="L125" i="1"/>
  <c r="L120" i="1"/>
  <c r="L135" i="1"/>
  <c r="L131" i="1"/>
  <c r="L127" i="1"/>
  <c r="L134" i="1"/>
  <c r="L137" i="1"/>
  <c r="L123" i="1"/>
  <c r="L119" i="1"/>
  <c r="L126" i="1"/>
  <c r="L122" i="1"/>
  <c r="L118" i="1"/>
  <c r="G7" i="4"/>
  <c r="O7" i="4" s="1"/>
  <c r="B8" i="4"/>
  <c r="C7" i="4"/>
  <c r="K7" i="4" s="1"/>
  <c r="H7" i="4"/>
  <c r="P7" i="4" s="1"/>
  <c r="D7" i="4"/>
  <c r="L7" i="4" s="1"/>
  <c r="E7" i="4"/>
  <c r="M7" i="4" s="1"/>
  <c r="O4" i="3"/>
  <c r="O5" i="3"/>
  <c r="O6" i="3" s="1"/>
  <c r="S5" i="3"/>
  <c r="S6" i="3" s="1"/>
  <c r="S4" i="3"/>
  <c r="D5" i="3"/>
  <c r="C8" i="4" l="1"/>
  <c r="K8" i="4" s="1"/>
  <c r="E8" i="4"/>
  <c r="M8" i="4" s="1"/>
  <c r="D8" i="4"/>
  <c r="L8" i="4" s="1"/>
  <c r="F8" i="4"/>
  <c r="N8" i="4" s="1"/>
  <c r="G8" i="4"/>
  <c r="O8" i="4" s="1"/>
  <c r="B9" i="4"/>
  <c r="H8" i="4"/>
  <c r="P8" i="4" s="1"/>
  <c r="O7" i="3"/>
  <c r="O8" i="3" s="1"/>
  <c r="O13" i="3" s="1"/>
  <c r="I38" i="3" s="1"/>
  <c r="R37" i="1" s="1"/>
  <c r="S7" i="3"/>
  <c r="R13" i="3" s="1"/>
  <c r="J38" i="3" l="1"/>
  <c r="U37" i="1" s="1"/>
  <c r="L39" i="3"/>
  <c r="W38" i="1" s="1"/>
  <c r="L38" i="3"/>
  <c r="W37" i="1" s="1"/>
  <c r="I23" i="3"/>
  <c r="I39" i="3"/>
  <c r="R38" i="1" s="1"/>
  <c r="L25" i="3"/>
  <c r="W24" i="1" s="1"/>
  <c r="L23" i="3"/>
  <c r="W22" i="1" s="1"/>
  <c r="I10" i="3"/>
  <c r="R9" i="1" s="1"/>
  <c r="I25" i="3"/>
  <c r="R24" i="1" s="1"/>
  <c r="I21" i="3"/>
  <c r="R20" i="1" s="1"/>
  <c r="L20" i="3"/>
  <c r="W19" i="1" s="1"/>
  <c r="L21" i="3"/>
  <c r="W20" i="1" s="1"/>
  <c r="I19" i="3"/>
  <c r="R18" i="1" s="1"/>
  <c r="I20" i="3"/>
  <c r="R19" i="1" s="1"/>
  <c r="I17" i="3"/>
  <c r="R16" i="1" s="1"/>
  <c r="I18" i="3"/>
  <c r="R17" i="1" s="1"/>
  <c r="I15" i="3"/>
  <c r="R14" i="1" s="1"/>
  <c r="I16" i="3"/>
  <c r="R15" i="1" s="1"/>
  <c r="L19" i="3"/>
  <c r="W18" i="1" s="1"/>
  <c r="L16" i="3"/>
  <c r="W15" i="1" s="1"/>
  <c r="I12" i="3"/>
  <c r="R11" i="1" s="1"/>
  <c r="I14" i="3"/>
  <c r="R13" i="1" s="1"/>
  <c r="I11" i="3"/>
  <c r="R10" i="1" s="1"/>
  <c r="I13" i="3"/>
  <c r="R12" i="1" s="1"/>
  <c r="L17" i="3"/>
  <c r="W16" i="1" s="1"/>
  <c r="L18" i="3"/>
  <c r="W17" i="1" s="1"/>
  <c r="L14" i="3"/>
  <c r="W13" i="1" s="1"/>
  <c r="L13" i="3"/>
  <c r="W12" i="1" s="1"/>
  <c r="E9" i="4"/>
  <c r="M9" i="4" s="1"/>
  <c r="D9" i="4"/>
  <c r="L9" i="4" s="1"/>
  <c r="C9" i="4"/>
  <c r="K9" i="4" s="1"/>
  <c r="H9" i="4"/>
  <c r="P9" i="4" s="1"/>
  <c r="G9" i="4"/>
  <c r="O9" i="4" s="1"/>
  <c r="F9" i="4"/>
  <c r="N9" i="4" s="1"/>
  <c r="B10" i="4"/>
  <c r="N13" i="3"/>
  <c r="L15" i="3"/>
  <c r="W14" i="1" s="1"/>
  <c r="L11" i="3"/>
  <c r="W10" i="1" s="1"/>
  <c r="L12" i="3"/>
  <c r="W11" i="1" s="1"/>
  <c r="L10" i="3"/>
  <c r="W9" i="1" s="1"/>
  <c r="J23" i="3" l="1"/>
  <c r="U22" i="1" s="1"/>
  <c r="R22" i="1"/>
  <c r="H39" i="3"/>
  <c r="V38" i="1" s="1"/>
  <c r="H38" i="3"/>
  <c r="V37" i="1" s="1"/>
  <c r="J39" i="3"/>
  <c r="U38" i="1" s="1"/>
  <c r="J10" i="3"/>
  <c r="U9" i="1" s="1"/>
  <c r="H25" i="3"/>
  <c r="V24" i="1" s="1"/>
  <c r="H23" i="3"/>
  <c r="V22" i="1" s="1"/>
  <c r="J25" i="3"/>
  <c r="U24" i="1" s="1"/>
  <c r="H10" i="3"/>
  <c r="V9" i="1" s="1"/>
  <c r="H11" i="3"/>
  <c r="V10" i="1" s="1"/>
  <c r="J19" i="3"/>
  <c r="U18" i="1" s="1"/>
  <c r="J17" i="3"/>
  <c r="U16" i="1" s="1"/>
  <c r="J11" i="3"/>
  <c r="U10" i="1" s="1"/>
  <c r="J20" i="3"/>
  <c r="U19" i="1" s="1"/>
  <c r="J16" i="3"/>
  <c r="U15" i="1" s="1"/>
  <c r="J21" i="3"/>
  <c r="U20" i="1" s="1"/>
  <c r="J14" i="3"/>
  <c r="U13" i="1" s="1"/>
  <c r="J12" i="3"/>
  <c r="U11" i="1" s="1"/>
  <c r="J15" i="3"/>
  <c r="U14" i="1" s="1"/>
  <c r="J13" i="3"/>
  <c r="U12" i="1" s="1"/>
  <c r="J18" i="3"/>
  <c r="U17" i="1" s="1"/>
  <c r="H21" i="3"/>
  <c r="V20" i="1" s="1"/>
  <c r="H16" i="3"/>
  <c r="V15" i="1" s="1"/>
  <c r="H20" i="3"/>
  <c r="V19" i="1" s="1"/>
  <c r="H19" i="3"/>
  <c r="V18" i="1" s="1"/>
  <c r="H17" i="3"/>
  <c r="V16" i="1" s="1"/>
  <c r="H18" i="3"/>
  <c r="V17" i="1" s="1"/>
  <c r="H13" i="3"/>
  <c r="V12" i="1" s="1"/>
  <c r="H15" i="3"/>
  <c r="V14" i="1" s="1"/>
  <c r="H14" i="3"/>
  <c r="V13" i="1" s="1"/>
  <c r="E10" i="4"/>
  <c r="M10" i="4" s="1"/>
  <c r="C10" i="4"/>
  <c r="K10" i="4" s="1"/>
  <c r="D10" i="4"/>
  <c r="L10" i="4" s="1"/>
  <c r="H10" i="4"/>
  <c r="P10" i="4" s="1"/>
  <c r="F10" i="4"/>
  <c r="N10" i="4" s="1"/>
  <c r="G10" i="4"/>
  <c r="O10" i="4" s="1"/>
  <c r="B11" i="4"/>
  <c r="H12" i="3"/>
  <c r="V11" i="1" s="1"/>
  <c r="S20" i="3"/>
  <c r="S18" i="3"/>
  <c r="O23" i="3" l="1"/>
  <c r="O24" i="3" s="1"/>
  <c r="D11" i="4"/>
  <c r="L11" i="4" s="1"/>
  <c r="C11" i="4"/>
  <c r="K11" i="4" s="1"/>
  <c r="E11" i="4"/>
  <c r="M11" i="4" s="1"/>
  <c r="G11" i="4"/>
  <c r="O11" i="4" s="1"/>
  <c r="F11" i="4"/>
  <c r="N11" i="4" s="1"/>
  <c r="H11" i="4"/>
  <c r="P11" i="4" s="1"/>
  <c r="B12" i="4"/>
  <c r="O18" i="3"/>
  <c r="O20" i="3"/>
  <c r="S22" i="3"/>
  <c r="O26" i="3" l="1"/>
  <c r="O28" i="3" s="1"/>
  <c r="D12" i="4"/>
  <c r="L12" i="4" s="1"/>
  <c r="E12" i="4"/>
  <c r="M12" i="4" s="1"/>
  <c r="C12" i="4"/>
  <c r="K12" i="4" s="1"/>
  <c r="B13" i="4"/>
  <c r="H12" i="4"/>
  <c r="P12" i="4" s="1"/>
  <c r="F12" i="4"/>
  <c r="N12" i="4" s="1"/>
  <c r="G12" i="4"/>
  <c r="O12" i="4" s="1"/>
  <c r="O29" i="3" l="1"/>
  <c r="E13" i="4"/>
  <c r="M13" i="4" s="1"/>
  <c r="D13" i="4"/>
  <c r="L13" i="4" s="1"/>
  <c r="C13" i="4"/>
  <c r="K13" i="4" s="1"/>
  <c r="H13" i="4"/>
  <c r="P13" i="4" s="1"/>
  <c r="G13" i="4"/>
  <c r="O13" i="4" s="1"/>
  <c r="F13" i="4"/>
  <c r="N13" i="4" s="1"/>
  <c r="B14" i="4"/>
  <c r="E14" i="4" l="1"/>
  <c r="M14" i="4" s="1"/>
  <c r="C14" i="4"/>
  <c r="K14" i="4" s="1"/>
  <c r="D14" i="4"/>
  <c r="L14" i="4" s="1"/>
  <c r="B15" i="4"/>
  <c r="H14" i="4"/>
  <c r="P14" i="4" s="1"/>
  <c r="G14" i="4"/>
  <c r="O14" i="4" s="1"/>
  <c r="F14" i="4"/>
  <c r="N14" i="4" s="1"/>
  <c r="E15" i="4" l="1"/>
  <c r="M15" i="4" s="1"/>
  <c r="C15" i="4"/>
  <c r="K15" i="4" s="1"/>
  <c r="D15" i="4"/>
  <c r="L15" i="4" s="1"/>
  <c r="G15" i="4"/>
  <c r="O15" i="4" s="1"/>
  <c r="F15" i="4"/>
  <c r="N15" i="4" s="1"/>
  <c r="H15" i="4"/>
  <c r="P15" i="4" s="1"/>
  <c r="B16" i="4"/>
  <c r="C16" i="4" l="1"/>
  <c r="K16" i="4" s="1"/>
  <c r="E16" i="4"/>
  <c r="M16" i="4" s="1"/>
  <c r="D16" i="4"/>
  <c r="L16" i="4" s="1"/>
  <c r="B17" i="4"/>
  <c r="H16" i="4"/>
  <c r="P16" i="4" s="1"/>
  <c r="G16" i="4"/>
  <c r="O16" i="4" s="1"/>
  <c r="F16" i="4"/>
  <c r="N16" i="4" s="1"/>
  <c r="E17" i="4" l="1"/>
  <c r="M17" i="4" s="1"/>
  <c r="C17" i="4"/>
  <c r="K17" i="4" s="1"/>
  <c r="D17" i="4"/>
  <c r="L17" i="4" s="1"/>
  <c r="F17" i="4"/>
  <c r="N17" i="4" s="1"/>
  <c r="H17" i="4"/>
  <c r="P17" i="4" s="1"/>
  <c r="B18" i="4"/>
  <c r="G17" i="4"/>
  <c r="O17" i="4" s="1"/>
  <c r="C18" i="4" l="1"/>
  <c r="K18" i="4" s="1"/>
  <c r="E18" i="4"/>
  <c r="M18" i="4" s="1"/>
  <c r="D18" i="4"/>
  <c r="L18" i="4" s="1"/>
  <c r="F18" i="4"/>
  <c r="N18" i="4" s="1"/>
  <c r="B19" i="4"/>
  <c r="G18" i="4"/>
  <c r="O18" i="4" s="1"/>
  <c r="H18" i="4"/>
  <c r="P18" i="4" s="1"/>
  <c r="D19" i="4" l="1"/>
  <c r="L19" i="4" s="1"/>
  <c r="C19" i="4"/>
  <c r="K19" i="4" s="1"/>
  <c r="E19" i="4"/>
  <c r="M19" i="4" s="1"/>
  <c r="G19" i="4"/>
  <c r="O19" i="4" s="1"/>
  <c r="H19" i="4"/>
  <c r="P19" i="4" s="1"/>
  <c r="F19" i="4"/>
  <c r="N19" i="4" s="1"/>
  <c r="B20" i="4"/>
  <c r="D20" i="4" l="1"/>
  <c r="L20" i="4" s="1"/>
  <c r="E20" i="4"/>
  <c r="M20" i="4" s="1"/>
  <c r="C20" i="4"/>
  <c r="K20" i="4" s="1"/>
  <c r="B21" i="4"/>
  <c r="H20" i="4"/>
  <c r="P20" i="4" s="1"/>
  <c r="G20" i="4"/>
  <c r="O20" i="4" s="1"/>
  <c r="F20" i="4"/>
  <c r="N20" i="4" s="1"/>
  <c r="D21" i="4" l="1"/>
  <c r="L21" i="4" s="1"/>
  <c r="E21" i="4"/>
  <c r="M21" i="4" s="1"/>
  <c r="C21" i="4"/>
  <c r="K21" i="4" s="1"/>
  <c r="B22" i="4"/>
  <c r="G21" i="4"/>
  <c r="O21" i="4" s="1"/>
  <c r="F21" i="4"/>
  <c r="N21" i="4" s="1"/>
  <c r="H21" i="4"/>
  <c r="P21" i="4" s="1"/>
  <c r="D22" i="4" l="1"/>
  <c r="L22" i="4" s="1"/>
  <c r="E22" i="4"/>
  <c r="M22" i="4" s="1"/>
  <c r="C22" i="4"/>
  <c r="K22" i="4" s="1"/>
  <c r="H22" i="4"/>
  <c r="P22" i="4" s="1"/>
  <c r="G22" i="4"/>
  <c r="O22" i="4" s="1"/>
  <c r="F22" i="4"/>
  <c r="N22" i="4" s="1"/>
  <c r="B23" i="4"/>
  <c r="D23" i="4" l="1"/>
  <c r="L23" i="4" s="1"/>
  <c r="E23" i="4"/>
  <c r="M23" i="4" s="1"/>
  <c r="C23" i="4"/>
  <c r="K23" i="4" s="1"/>
  <c r="F23" i="4"/>
  <c r="N23" i="4" s="1"/>
  <c r="H23" i="4"/>
  <c r="P23" i="4" s="1"/>
  <c r="G23" i="4"/>
  <c r="O23" i="4" s="1"/>
  <c r="B24" i="4"/>
  <c r="E24" i="4" l="1"/>
  <c r="M24" i="4" s="1"/>
  <c r="C24" i="4"/>
  <c r="K24" i="4" s="1"/>
  <c r="D24" i="4"/>
  <c r="L24" i="4" s="1"/>
  <c r="B25" i="4"/>
  <c r="H24" i="4"/>
  <c r="P24" i="4" s="1"/>
  <c r="F24" i="4"/>
  <c r="N24" i="4" s="1"/>
  <c r="G24" i="4"/>
  <c r="O24" i="4" s="1"/>
  <c r="E25" i="4" l="1"/>
  <c r="M25" i="4" s="1"/>
  <c r="C25" i="4"/>
  <c r="K25" i="4" s="1"/>
  <c r="D25" i="4"/>
  <c r="L25" i="4" s="1"/>
  <c r="H25" i="4"/>
  <c r="P25" i="4" s="1"/>
  <c r="B26" i="4"/>
  <c r="G25" i="4"/>
  <c r="O25" i="4" s="1"/>
  <c r="F25" i="4"/>
  <c r="N25" i="4" s="1"/>
  <c r="E26" i="4" l="1"/>
  <c r="M26" i="4" s="1"/>
  <c r="C26" i="4"/>
  <c r="K26" i="4" s="1"/>
  <c r="D26" i="4"/>
  <c r="L26" i="4" s="1"/>
  <c r="B27" i="4"/>
  <c r="F26" i="4"/>
  <c r="N26" i="4" s="1"/>
  <c r="H26" i="4"/>
  <c r="P26" i="4" s="1"/>
  <c r="G26" i="4"/>
  <c r="O26" i="4" s="1"/>
  <c r="C27" i="4" l="1"/>
  <c r="K27" i="4" s="1"/>
  <c r="D27" i="4"/>
  <c r="L27" i="4" s="1"/>
  <c r="E27" i="4"/>
  <c r="M27" i="4" s="1"/>
  <c r="G27" i="4"/>
  <c r="O27" i="4" s="1"/>
  <c r="F27" i="4"/>
  <c r="N27" i="4" s="1"/>
  <c r="B28" i="4"/>
  <c r="H27" i="4"/>
  <c r="P27" i="4" s="1"/>
  <c r="D28" i="4" l="1"/>
  <c r="L28" i="4" s="1"/>
  <c r="E28" i="4"/>
  <c r="M28" i="4" s="1"/>
  <c r="C28" i="4"/>
  <c r="K28" i="4" s="1"/>
  <c r="H28" i="4"/>
  <c r="P28" i="4" s="1"/>
  <c r="G28" i="4"/>
  <c r="O28" i="4" s="1"/>
  <c r="F28" i="4"/>
  <c r="N28" i="4" s="1"/>
  <c r="B29" i="4"/>
  <c r="D29" i="4" l="1"/>
  <c r="L29" i="4" s="1"/>
  <c r="E29" i="4"/>
  <c r="M29" i="4" s="1"/>
  <c r="C29" i="4"/>
  <c r="K29" i="4" s="1"/>
  <c r="B30" i="4"/>
  <c r="G29" i="4"/>
  <c r="O29" i="4" s="1"/>
  <c r="H29" i="4"/>
  <c r="P29" i="4" s="1"/>
  <c r="F29" i="4"/>
  <c r="N29" i="4" s="1"/>
  <c r="E30" i="4" l="1"/>
  <c r="M30" i="4" s="1"/>
  <c r="C30" i="4"/>
  <c r="K30" i="4" s="1"/>
  <c r="D30" i="4"/>
  <c r="L30" i="4" s="1"/>
  <c r="B31" i="4"/>
  <c r="G30" i="4"/>
  <c r="O30" i="4" s="1"/>
  <c r="F30" i="4"/>
  <c r="N30" i="4" s="1"/>
  <c r="H30" i="4"/>
  <c r="P30" i="4" s="1"/>
  <c r="E31" i="4" l="1"/>
  <c r="M31" i="4" s="1"/>
  <c r="C31" i="4"/>
  <c r="K31" i="4" s="1"/>
  <c r="D31" i="4"/>
  <c r="L31" i="4" s="1"/>
  <c r="G31" i="4"/>
  <c r="O31" i="4" s="1"/>
  <c r="F31" i="4"/>
  <c r="N31" i="4" s="1"/>
  <c r="B32" i="4"/>
  <c r="H31" i="4"/>
  <c r="P31" i="4" s="1"/>
  <c r="E32" i="4" l="1"/>
  <c r="M32" i="4" s="1"/>
  <c r="C32" i="4"/>
  <c r="K32" i="4" s="1"/>
  <c r="D32" i="4"/>
  <c r="L32" i="4" s="1"/>
  <c r="H32" i="4"/>
  <c r="P32" i="4" s="1"/>
  <c r="F32" i="4"/>
  <c r="N32" i="4" s="1"/>
  <c r="B33" i="4"/>
  <c r="G32" i="4"/>
  <c r="O32" i="4" s="1"/>
  <c r="C33" i="4" l="1"/>
  <c r="K33" i="4" s="1"/>
  <c r="E33" i="4"/>
  <c r="M33" i="4" s="1"/>
  <c r="D33" i="4"/>
  <c r="L33" i="4" s="1"/>
  <c r="H33" i="4"/>
  <c r="P33" i="4" s="1"/>
  <c r="G33" i="4"/>
  <c r="O33" i="4" s="1"/>
  <c r="F33" i="4"/>
  <c r="N33" i="4" s="1"/>
  <c r="S8" i="3" l="1"/>
  <c r="P59" i="1" l="1"/>
  <c r="D28" i="1" l="1"/>
  <c r="M25" i="1" s="1"/>
  <c r="D59" i="1"/>
  <c r="D60" i="1"/>
  <c r="D35" i="1"/>
  <c r="D36" i="1"/>
  <c r="D33" i="1"/>
  <c r="D48" i="1"/>
  <c r="D23" i="1"/>
  <c r="M20" i="1" s="1"/>
  <c r="D38" i="1"/>
  <c r="D55" i="1"/>
  <c r="D61" i="1"/>
  <c r="D24" i="1"/>
  <c r="M21" i="1" s="1"/>
  <c r="D47" i="1"/>
  <c r="D26" i="1"/>
  <c r="M23" i="1" s="1"/>
  <c r="D41" i="1"/>
  <c r="D42" i="1"/>
  <c r="D29" i="1"/>
  <c r="M26" i="1" s="1"/>
  <c r="D56" i="1"/>
  <c r="D43" i="1"/>
  <c r="D45" i="1"/>
  <c r="D27" i="1"/>
  <c r="M24" i="1" s="1"/>
  <c r="D58" i="1"/>
  <c r="D49" i="1"/>
  <c r="D32" i="1"/>
  <c r="D44" i="1"/>
  <c r="D51" i="1"/>
  <c r="D39" i="1"/>
  <c r="D46" i="1"/>
  <c r="D37" i="1"/>
  <c r="D34" i="1"/>
  <c r="D52" i="1"/>
  <c r="D50" i="1"/>
  <c r="D25" i="1"/>
  <c r="M22" i="1" s="1"/>
  <c r="D40" i="1"/>
  <c r="D54" i="1"/>
  <c r="D30" i="1"/>
  <c r="M27" i="1" s="1"/>
  <c r="D31" i="1"/>
  <c r="M28" i="1" s="1"/>
  <c r="D53" i="1"/>
  <c r="D57" i="1"/>
  <c r="M38" i="1" l="1"/>
  <c r="Y38" i="1"/>
  <c r="D143" i="1"/>
  <c r="AB144" i="1"/>
  <c r="P38" i="1"/>
  <c r="M45" i="1"/>
  <c r="Y45" i="1"/>
  <c r="D150" i="1"/>
  <c r="AB151" i="1"/>
  <c r="P45" i="1"/>
  <c r="M30" i="1"/>
  <c r="Y30" i="1"/>
  <c r="D135" i="1"/>
  <c r="AB136" i="1"/>
  <c r="P30" i="1"/>
  <c r="M51" i="1"/>
  <c r="Y51" i="1"/>
  <c r="D156" i="1"/>
  <c r="AB157" i="1"/>
  <c r="P51" i="1"/>
  <c r="M36" i="1"/>
  <c r="Y36" i="1"/>
  <c r="D141" i="1"/>
  <c r="AB142" i="1"/>
  <c r="P36" i="1"/>
  <c r="M42" i="1"/>
  <c r="Y42" i="1"/>
  <c r="D147" i="1"/>
  <c r="AB148" i="1"/>
  <c r="P42" i="1"/>
  <c r="M44" i="1"/>
  <c r="Y44" i="1"/>
  <c r="D149" i="1"/>
  <c r="AB150" i="1"/>
  <c r="P44" i="1"/>
  <c r="M33" i="1"/>
  <c r="Y33" i="1"/>
  <c r="D138" i="1"/>
  <c r="AB139" i="1"/>
  <c r="P33" i="1"/>
  <c r="M48" i="1"/>
  <c r="Y48" i="1"/>
  <c r="D153" i="1"/>
  <c r="AB154" i="1"/>
  <c r="P48" i="1"/>
  <c r="M32" i="1"/>
  <c r="Y32" i="1"/>
  <c r="D137" i="1"/>
  <c r="AB138" i="1"/>
  <c r="P32" i="1"/>
  <c r="M58" i="1"/>
  <c r="Y58" i="1"/>
  <c r="D163" i="1"/>
  <c r="AB164" i="1"/>
  <c r="P58" i="1"/>
  <c r="M57" i="1"/>
  <c r="Y57" i="1"/>
  <c r="D162" i="1"/>
  <c r="AB163" i="1"/>
  <c r="P57" i="1"/>
  <c r="M34" i="1"/>
  <c r="Y34" i="1"/>
  <c r="D139" i="1"/>
  <c r="AB140" i="1"/>
  <c r="P34" i="1"/>
  <c r="M41" i="1"/>
  <c r="Y41" i="1"/>
  <c r="D146" i="1"/>
  <c r="AB147" i="1"/>
  <c r="P41" i="1"/>
  <c r="M54" i="1"/>
  <c r="Y54" i="1"/>
  <c r="D159" i="1"/>
  <c r="AB160" i="1"/>
  <c r="P54" i="1"/>
  <c r="M47" i="1"/>
  <c r="Y47" i="1"/>
  <c r="D152" i="1"/>
  <c r="AB153" i="1"/>
  <c r="P47" i="1"/>
  <c r="M29" i="1"/>
  <c r="Y29" i="1"/>
  <c r="D134" i="1"/>
  <c r="AB135" i="1"/>
  <c r="P29" i="1"/>
  <c r="M53" i="1"/>
  <c r="Y53" i="1"/>
  <c r="D158" i="1"/>
  <c r="AB159" i="1"/>
  <c r="P53" i="1"/>
  <c r="M52" i="1"/>
  <c r="Y52" i="1"/>
  <c r="D157" i="1"/>
  <c r="AB158" i="1"/>
  <c r="P52" i="1"/>
  <c r="M56" i="1"/>
  <c r="Y56" i="1"/>
  <c r="D161" i="1"/>
  <c r="AB162" i="1"/>
  <c r="P56" i="1"/>
  <c r="M37" i="1"/>
  <c r="Y37" i="1"/>
  <c r="D142" i="1"/>
  <c r="AB143" i="1"/>
  <c r="P37" i="1"/>
  <c r="M40" i="1"/>
  <c r="Y40" i="1"/>
  <c r="D145" i="1"/>
  <c r="AB146" i="1"/>
  <c r="P40" i="1"/>
  <c r="M50" i="1"/>
  <c r="Y50" i="1"/>
  <c r="D155" i="1"/>
  <c r="AB156" i="1"/>
  <c r="P50" i="1"/>
  <c r="M49" i="1"/>
  <c r="Y49" i="1"/>
  <c r="D154" i="1"/>
  <c r="AB155" i="1"/>
  <c r="P49" i="1"/>
  <c r="M46" i="1"/>
  <c r="Y46" i="1"/>
  <c r="D151" i="1"/>
  <c r="AB152" i="1"/>
  <c r="P46" i="1"/>
  <c r="M35" i="1"/>
  <c r="Y35" i="1"/>
  <c r="D140" i="1"/>
  <c r="AB141" i="1"/>
  <c r="P35" i="1"/>
  <c r="M43" i="1"/>
  <c r="Y43" i="1"/>
  <c r="D148" i="1"/>
  <c r="AB149" i="1"/>
  <c r="P43" i="1"/>
  <c r="M31" i="1"/>
  <c r="Y31" i="1"/>
  <c r="D136" i="1"/>
  <c r="AB137" i="1"/>
  <c r="P31" i="1"/>
  <c r="M55" i="1"/>
  <c r="Y55" i="1"/>
  <c r="D160" i="1"/>
  <c r="AB161" i="1"/>
  <c r="P55" i="1"/>
  <c r="M39" i="1"/>
  <c r="Y39" i="1"/>
  <c r="D144" i="1"/>
  <c r="AB145" i="1"/>
  <c r="P39" i="1"/>
  <c r="Y22" i="1"/>
  <c r="D127" i="1"/>
  <c r="AB128" i="1"/>
  <c r="P22" i="1"/>
  <c r="Y24" i="1"/>
  <c r="D129" i="1"/>
  <c r="AB130" i="1"/>
  <c r="P24" i="1"/>
  <c r="Y28" i="1"/>
  <c r="D133" i="1"/>
  <c r="AB134" i="1"/>
  <c r="P28" i="1"/>
  <c r="Y23" i="1"/>
  <c r="D128" i="1"/>
  <c r="AB129" i="1"/>
  <c r="P23" i="1"/>
  <c r="Y25" i="1"/>
  <c r="D130" i="1"/>
  <c r="AB131" i="1"/>
  <c r="P25" i="1"/>
  <c r="Y20" i="1"/>
  <c r="D125" i="1"/>
  <c r="AB126" i="1"/>
  <c r="P20" i="1"/>
  <c r="Y26" i="1"/>
  <c r="D131" i="1"/>
  <c r="AB132" i="1"/>
  <c r="P26" i="1"/>
  <c r="Y21" i="1"/>
  <c r="D126" i="1"/>
  <c r="AB127" i="1"/>
  <c r="P21" i="1"/>
  <c r="Y27" i="1"/>
  <c r="D132" i="1"/>
  <c r="AB133" i="1"/>
  <c r="P27" i="1"/>
  <c r="AK42" i="1" l="1"/>
  <c r="N425" i="1"/>
  <c r="N443" i="1"/>
  <c r="N413" i="1"/>
  <c r="N429" i="1"/>
  <c r="N454" i="1"/>
  <c r="N405" i="1"/>
  <c r="N427" i="1"/>
  <c r="N430" i="1"/>
  <c r="N411" i="1"/>
  <c r="N417" i="1"/>
  <c r="N448" i="1"/>
  <c r="AE160" i="1"/>
  <c r="N423" i="1"/>
  <c r="N444" i="1"/>
  <c r="N421" i="1"/>
  <c r="N451" i="1"/>
  <c r="N447" i="1"/>
  <c r="N422" i="1"/>
  <c r="N438" i="1"/>
  <c r="N450" i="1"/>
  <c r="N440" i="1"/>
  <c r="N419" i="1"/>
  <c r="N442" i="1"/>
  <c r="AO123" i="1"/>
  <c r="N434" i="1"/>
  <c r="N409" i="1"/>
  <c r="N435" i="1"/>
  <c r="N433" i="1"/>
  <c r="M454" i="1"/>
  <c r="O454" i="1" s="1"/>
  <c r="M438" i="1"/>
  <c r="O438" i="1" s="1"/>
  <c r="M432" i="1"/>
  <c r="O432" i="1" s="1"/>
  <c r="AF13" i="1"/>
  <c r="M430" i="1"/>
  <c r="O430" i="1" s="1"/>
  <c r="M443" i="1"/>
  <c r="O443" i="1" s="1"/>
  <c r="Q134" i="1"/>
  <c r="K29" i="1" s="1"/>
  <c r="M450" i="1"/>
  <c r="O450" i="1" s="1"/>
  <c r="Q152" i="1"/>
  <c r="N47" i="1" s="1"/>
  <c r="Q47" i="1" s="1"/>
  <c r="Q137" i="1"/>
  <c r="K32" i="1" s="1"/>
  <c r="F401" i="1"/>
  <c r="F402" i="1" s="1"/>
  <c r="V151" i="1"/>
  <c r="N151" i="1" s="1"/>
  <c r="F46" i="1" s="1"/>
  <c r="M449" i="1"/>
  <c r="O449" i="1" s="1"/>
  <c r="Q144" i="1"/>
  <c r="K39" i="1" s="1"/>
  <c r="V164" i="1"/>
  <c r="U164" i="1" s="1"/>
  <c r="L59" i="1" s="1"/>
  <c r="Q129" i="1"/>
  <c r="N24" i="1" s="1"/>
  <c r="Q24" i="1" s="1"/>
  <c r="M433" i="1"/>
  <c r="O433" i="1" s="1"/>
  <c r="M440" i="1"/>
  <c r="O440" i="1" s="1"/>
  <c r="AF23" i="1"/>
  <c r="G35" i="5" s="1"/>
  <c r="M422" i="1"/>
  <c r="O422" i="1" s="1"/>
  <c r="M437" i="1"/>
  <c r="O437" i="1" s="1"/>
  <c r="Q135" i="1"/>
  <c r="N30" i="1" s="1"/>
  <c r="Q30" i="1" s="1"/>
  <c r="V121" i="1"/>
  <c r="N121" i="1" s="1"/>
  <c r="F16" i="1" s="1"/>
  <c r="Q131" i="1"/>
  <c r="N26" i="1" s="1"/>
  <c r="Q26" i="1" s="1"/>
  <c r="V155" i="1"/>
  <c r="N155" i="1" s="1"/>
  <c r="F50" i="1" s="1"/>
  <c r="M425" i="1"/>
  <c r="O425" i="1" s="1"/>
  <c r="M417" i="1"/>
  <c r="O417" i="1" s="1"/>
  <c r="M441" i="1"/>
  <c r="O441" i="1" s="1"/>
  <c r="V152" i="1"/>
  <c r="N152" i="1" s="1"/>
  <c r="F47" i="1" s="1"/>
  <c r="M445" i="1"/>
  <c r="O445" i="1" s="1"/>
  <c r="M446" i="1"/>
  <c r="O446" i="1" s="1"/>
  <c r="Q151" i="1"/>
  <c r="K46" i="1" s="1"/>
  <c r="Q162" i="1"/>
  <c r="K57" i="1" s="1"/>
  <c r="Q163" i="1"/>
  <c r="K58" i="1" s="1"/>
  <c r="M447" i="1"/>
  <c r="O447" i="1" s="1"/>
  <c r="Q156" i="1"/>
  <c r="K51" i="1" s="1"/>
  <c r="V132" i="1"/>
  <c r="U132" i="1" s="1"/>
  <c r="L27" i="1" s="1"/>
  <c r="Q149" i="1"/>
  <c r="B29" i="19"/>
  <c r="C29" i="19" s="1"/>
  <c r="AF24" i="1"/>
  <c r="G36" i="5" s="1"/>
  <c r="V148" i="1"/>
  <c r="N148" i="1" s="1"/>
  <c r="F43" i="1" s="1"/>
  <c r="V125" i="1"/>
  <c r="N125" i="1" s="1"/>
  <c r="F20" i="1" s="1"/>
  <c r="M419" i="1"/>
  <c r="O419" i="1" s="1"/>
  <c r="Q146" i="1"/>
  <c r="K41" i="1" s="1"/>
  <c r="M431" i="1"/>
  <c r="O431" i="1" s="1"/>
  <c r="V162" i="1"/>
  <c r="N162" i="1" s="1"/>
  <c r="F57" i="1" s="1"/>
  <c r="V130" i="1"/>
  <c r="U130" i="1" s="1"/>
  <c r="L25" i="1" s="1"/>
  <c r="Q140" i="1"/>
  <c r="K35" i="1" s="1"/>
  <c r="M427" i="1"/>
  <c r="O427" i="1" s="1"/>
  <c r="V123" i="1"/>
  <c r="U123" i="1" s="1"/>
  <c r="L18" i="1" s="1"/>
  <c r="V147" i="1"/>
  <c r="U147" i="1" s="1"/>
  <c r="L42" i="1" s="1"/>
  <c r="Q147" i="1"/>
  <c r="K42" i="1" s="1"/>
  <c r="V117" i="1"/>
  <c r="U117" i="1" s="1"/>
  <c r="L12" i="1" s="1"/>
  <c r="Q128" i="1"/>
  <c r="K23" i="1" s="1"/>
  <c r="M428" i="1"/>
  <c r="O428" i="1" s="1"/>
  <c r="Q130" i="1"/>
  <c r="K25" i="1" s="1"/>
  <c r="AM123" i="1"/>
  <c r="AM126" i="1" s="1"/>
  <c r="AO126" i="1" s="1"/>
  <c r="V133" i="1"/>
  <c r="U133" i="1" s="1"/>
  <c r="L28" i="1" s="1"/>
  <c r="V153" i="1"/>
  <c r="U153" i="1" s="1"/>
  <c r="L48" i="1" s="1"/>
  <c r="M452" i="1"/>
  <c r="O452" i="1" s="1"/>
  <c r="Q133" i="1"/>
  <c r="V142" i="1"/>
  <c r="U142" i="1" s="1"/>
  <c r="L37" i="1" s="1"/>
  <c r="M435" i="1"/>
  <c r="O435" i="1" s="1"/>
  <c r="Q150" i="1"/>
  <c r="K45" i="1" s="1"/>
  <c r="M436" i="1"/>
  <c r="O436" i="1" s="1"/>
  <c r="V143" i="1"/>
  <c r="U143" i="1" s="1"/>
  <c r="L38" i="1" s="1"/>
  <c r="M451" i="1"/>
  <c r="O451" i="1" s="1"/>
  <c r="V131" i="1"/>
  <c r="U131" i="1" s="1"/>
  <c r="L26" i="1" s="1"/>
  <c r="V116" i="1"/>
  <c r="V120" i="1"/>
  <c r="N120" i="1" s="1"/>
  <c r="F15" i="1" s="1"/>
  <c r="M453" i="1"/>
  <c r="O453" i="1" s="1"/>
  <c r="Q159" i="1"/>
  <c r="N54" i="1" s="1"/>
  <c r="Q54" i="1" s="1"/>
  <c r="Q160" i="1"/>
  <c r="N55" i="1" s="1"/>
  <c r="Q55" i="1" s="1"/>
  <c r="V114" i="1"/>
  <c r="V163" i="1"/>
  <c r="N163" i="1" s="1"/>
  <c r="F58" i="1" s="1"/>
  <c r="V119" i="1"/>
  <c r="N119" i="1" s="1"/>
  <c r="F14" i="1" s="1"/>
  <c r="M448" i="1"/>
  <c r="O448" i="1" s="1"/>
  <c r="V158" i="1"/>
  <c r="Q158" i="1"/>
  <c r="K53" i="1" s="1"/>
  <c r="Q145" i="1"/>
  <c r="K40" i="1" s="1"/>
  <c r="M212" i="1"/>
  <c r="V122" i="1"/>
  <c r="U122" i="1" s="1"/>
  <c r="L17" i="1" s="1"/>
  <c r="V139" i="1"/>
  <c r="U139" i="1" s="1"/>
  <c r="L34" i="1" s="1"/>
  <c r="V137" i="1"/>
  <c r="N137" i="1" s="1"/>
  <c r="F32" i="1" s="1"/>
  <c r="B39" i="19"/>
  <c r="C39" i="19" s="1"/>
  <c r="Q127" i="1"/>
  <c r="K22" i="1" s="1"/>
  <c r="V128" i="1"/>
  <c r="N128" i="1" s="1"/>
  <c r="F23" i="1" s="1"/>
  <c r="V127" i="1"/>
  <c r="M423" i="1"/>
  <c r="O423" i="1" s="1"/>
  <c r="M442" i="1"/>
  <c r="O442" i="1" s="1"/>
  <c r="V129" i="1"/>
  <c r="Q126" i="1"/>
  <c r="K21" i="1" s="1"/>
  <c r="V136" i="1"/>
  <c r="U136" i="1" s="1"/>
  <c r="L31" i="1" s="1"/>
  <c r="V135" i="1"/>
  <c r="N135" i="1" s="1"/>
  <c r="F30" i="1" s="1"/>
  <c r="Q143" i="1"/>
  <c r="K38" i="1" s="1"/>
  <c r="V140" i="1"/>
  <c r="U140" i="1" s="1"/>
  <c r="L35" i="1" s="1"/>
  <c r="Q141" i="1"/>
  <c r="K36" i="1" s="1"/>
  <c r="V149" i="1"/>
  <c r="M418" i="1"/>
  <c r="O418" i="1" s="1"/>
  <c r="V126" i="1"/>
  <c r="N126" i="1" s="1"/>
  <c r="F21" i="1" s="1"/>
  <c r="V144" i="1"/>
  <c r="V157" i="1"/>
  <c r="V118" i="1"/>
  <c r="U118" i="1" s="1"/>
  <c r="L13" i="1" s="1"/>
  <c r="Q161" i="1"/>
  <c r="K56" i="1" s="1"/>
  <c r="M439" i="1"/>
  <c r="O439" i="1" s="1"/>
  <c r="Q142" i="1"/>
  <c r="K37" i="1" s="1"/>
  <c r="V150" i="1"/>
  <c r="AF14" i="1"/>
  <c r="G26" i="5" s="1"/>
  <c r="M434" i="1"/>
  <c r="O434" i="1" s="1"/>
  <c r="Q153" i="1"/>
  <c r="K48" i="1" s="1"/>
  <c r="M444" i="1"/>
  <c r="O444" i="1" s="1"/>
  <c r="V154" i="1"/>
  <c r="U154" i="1" s="1"/>
  <c r="L49" i="1" s="1"/>
  <c r="M429" i="1"/>
  <c r="O429" i="1" s="1"/>
  <c r="Q139" i="1"/>
  <c r="K34" i="1" s="1"/>
  <c r="Q148" i="1"/>
  <c r="Q138" i="1"/>
  <c r="K33" i="1" s="1"/>
  <c r="V161" i="1"/>
  <c r="N161" i="1" s="1"/>
  <c r="F56" i="1" s="1"/>
  <c r="M426" i="1"/>
  <c r="O426" i="1" s="1"/>
  <c r="M424" i="1"/>
  <c r="O424" i="1" s="1"/>
  <c r="V115" i="1"/>
  <c r="U115" i="1" s="1"/>
  <c r="L10" i="1" s="1"/>
  <c r="V145" i="1"/>
  <c r="N145" i="1" s="1"/>
  <c r="F40" i="1" s="1"/>
  <c r="Q125" i="1"/>
  <c r="N20" i="1" s="1"/>
  <c r="Q20" i="1" s="1"/>
  <c r="Q164" i="1"/>
  <c r="K59" i="1" s="1"/>
  <c r="E405" i="1"/>
  <c r="V124" i="1"/>
  <c r="U124" i="1" s="1"/>
  <c r="L19" i="1" s="1"/>
  <c r="Q132" i="1"/>
  <c r="N27" i="1" s="1"/>
  <c r="Q27" i="1" s="1"/>
  <c r="M420" i="1"/>
  <c r="O420" i="1" s="1"/>
  <c r="BB2" i="1"/>
  <c r="Q154" i="1"/>
  <c r="K49" i="1" s="1"/>
  <c r="V160" i="1"/>
  <c r="U160" i="1" s="1"/>
  <c r="L55" i="1" s="1"/>
  <c r="M421" i="1"/>
  <c r="O421" i="1" s="1"/>
  <c r="V138" i="1"/>
  <c r="N138" i="1" s="1"/>
  <c r="F33" i="1" s="1"/>
  <c r="V146" i="1"/>
  <c r="N146" i="1" s="1"/>
  <c r="F41" i="1" s="1"/>
  <c r="V156" i="1"/>
  <c r="U156" i="1" s="1"/>
  <c r="L51" i="1" s="1"/>
  <c r="Q136" i="1"/>
  <c r="K31" i="1" s="1"/>
  <c r="V141" i="1"/>
  <c r="N141" i="1" s="1"/>
  <c r="F36" i="1" s="1"/>
  <c r="Q155" i="1"/>
  <c r="K50" i="1" s="1"/>
  <c r="Q157" i="1"/>
  <c r="K52" i="1" s="1"/>
  <c r="V159" i="1"/>
  <c r="N159" i="1" s="1"/>
  <c r="F54" i="1" s="1"/>
  <c r="M416" i="1"/>
  <c r="O416" i="1" s="1"/>
  <c r="V134" i="1"/>
  <c r="N134" i="1" s="1"/>
  <c r="F29" i="1" s="1"/>
  <c r="M244" i="1"/>
  <c r="E400" i="1"/>
  <c r="AE126" i="1"/>
  <c r="N123" i="1" l="1"/>
  <c r="F18" i="1" s="1"/>
  <c r="N115" i="1"/>
  <c r="F10" i="1" s="1"/>
  <c r="U162" i="1"/>
  <c r="L57" i="1" s="1"/>
  <c r="U155" i="1"/>
  <c r="L50" i="1" s="1"/>
  <c r="N131" i="1"/>
  <c r="F26" i="1" s="1"/>
  <c r="N41" i="1"/>
  <c r="Q41" i="1" s="1"/>
  <c r="N118" i="1"/>
  <c r="F13" i="1" s="1"/>
  <c r="N140" i="1"/>
  <c r="F35" i="1" s="1"/>
  <c r="N147" i="1"/>
  <c r="F42" i="1" s="1"/>
  <c r="N143" i="1"/>
  <c r="F38" i="1" s="1"/>
  <c r="U148" i="1"/>
  <c r="L43" i="1" s="1"/>
  <c r="U152" i="1"/>
  <c r="L47" i="1" s="1"/>
  <c r="U121" i="1"/>
  <c r="L16" i="1" s="1"/>
  <c r="N133" i="1"/>
  <c r="F28" i="1" s="1"/>
  <c r="U120" i="1"/>
  <c r="L15" i="1" s="1"/>
  <c r="U159" i="1"/>
  <c r="L54" i="1" s="1"/>
  <c r="U146" i="1"/>
  <c r="L41" i="1" s="1"/>
  <c r="D406" i="1"/>
  <c r="D407" i="1" s="1"/>
  <c r="U135" i="1"/>
  <c r="L30" i="1" s="1"/>
  <c r="U161" i="1"/>
  <c r="L56" i="1" s="1"/>
  <c r="U126" i="1"/>
  <c r="L21" i="1" s="1"/>
  <c r="N136" i="1"/>
  <c r="F31" i="1" s="1"/>
  <c r="N139" i="1"/>
  <c r="F34" i="1" s="1"/>
  <c r="N124" i="1"/>
  <c r="F19" i="1" s="1"/>
  <c r="N160" i="1"/>
  <c r="F55" i="1" s="1"/>
  <c r="U128" i="1"/>
  <c r="L23" i="1" s="1"/>
  <c r="U163" i="1"/>
  <c r="L58" i="1" s="1"/>
  <c r="N130" i="1"/>
  <c r="F25" i="1" s="1"/>
  <c r="N132" i="1"/>
  <c r="F27" i="1" s="1"/>
  <c r="N46" i="1"/>
  <c r="Q46" i="1" s="1"/>
  <c r="N57" i="1"/>
  <c r="Q57" i="1" s="1"/>
  <c r="N25" i="1"/>
  <c r="Q25" i="1" s="1"/>
  <c r="N56" i="1"/>
  <c r="Q56" i="1" s="1"/>
  <c r="N29" i="1"/>
  <c r="Q29" i="1" s="1"/>
  <c r="N35" i="1"/>
  <c r="Q35" i="1" s="1"/>
  <c r="K30" i="1"/>
  <c r="N36" i="1"/>
  <c r="Q36" i="1" s="1"/>
  <c r="N52" i="1"/>
  <c r="Q52" i="1" s="1"/>
  <c r="N48" i="1"/>
  <c r="Q48" i="1" s="1"/>
  <c r="N53" i="1"/>
  <c r="Q53" i="1" s="1"/>
  <c r="K27" i="1"/>
  <c r="N31" i="1"/>
  <c r="Q31" i="1" s="1"/>
  <c r="N59" i="1"/>
  <c r="Q59" i="1" s="1"/>
  <c r="N37" i="1"/>
  <c r="Q37" i="1" s="1"/>
  <c r="N38" i="1"/>
  <c r="Q38" i="1" s="1"/>
  <c r="N21" i="1"/>
  <c r="Q21" i="1" s="1"/>
  <c r="N45" i="1"/>
  <c r="Q45" i="1" s="1"/>
  <c r="N34" i="1"/>
  <c r="Q34" i="1" s="1"/>
  <c r="N40" i="1"/>
  <c r="Q40" i="1" s="1"/>
  <c r="N23" i="1"/>
  <c r="Q23" i="1" s="1"/>
  <c r="N58" i="1"/>
  <c r="Q58" i="1" s="1"/>
  <c r="N50" i="1"/>
  <c r="Q50" i="1" s="1"/>
  <c r="U141" i="1"/>
  <c r="L36" i="1" s="1"/>
  <c r="N156" i="1"/>
  <c r="F51" i="1" s="1"/>
  <c r="N149" i="1"/>
  <c r="F44" i="1" s="1"/>
  <c r="U149" i="1"/>
  <c r="L44" i="1" s="1"/>
  <c r="U138" i="1"/>
  <c r="L33" i="1" s="1"/>
  <c r="U150" i="1"/>
  <c r="L45" i="1" s="1"/>
  <c r="N150" i="1"/>
  <c r="F45" i="1" s="1"/>
  <c r="U144" i="1"/>
  <c r="L39" i="1" s="1"/>
  <c r="N144" i="1"/>
  <c r="F39" i="1" s="1"/>
  <c r="U114" i="1"/>
  <c r="L9" i="1" s="1"/>
  <c r="N114" i="1"/>
  <c r="F9" i="1" s="1"/>
  <c r="N129" i="1"/>
  <c r="F24" i="1" s="1"/>
  <c r="U129" i="1"/>
  <c r="L24" i="1" s="1"/>
  <c r="U116" i="1"/>
  <c r="L11" i="1" s="1"/>
  <c r="N116" i="1"/>
  <c r="F11" i="1" s="1"/>
  <c r="U251" i="1"/>
  <c r="U250" i="1"/>
  <c r="U242" i="1"/>
  <c r="U244" i="1"/>
  <c r="U245" i="1"/>
  <c r="U247" i="1"/>
  <c r="U246" i="1"/>
  <c r="U248" i="1"/>
  <c r="U249" i="1"/>
  <c r="U243" i="1"/>
  <c r="U253" i="1"/>
  <c r="U252" i="1"/>
  <c r="U158" i="1"/>
  <c r="L53" i="1" s="1"/>
  <c r="N158" i="1"/>
  <c r="F53" i="1" s="1"/>
  <c r="K28" i="1"/>
  <c r="N28" i="1"/>
  <c r="Q28" i="1" s="1"/>
  <c r="AI125" i="1"/>
  <c r="U134" i="1"/>
  <c r="L29" i="1" s="1"/>
  <c r="K43" i="1"/>
  <c r="N43" i="1"/>
  <c r="Q43" i="1" s="1"/>
  <c r="N157" i="1"/>
  <c r="F52" i="1" s="1"/>
  <c r="U157" i="1"/>
  <c r="L52" i="1" s="1"/>
  <c r="N127" i="1"/>
  <c r="F22" i="1" s="1"/>
  <c r="U127" i="1"/>
  <c r="L22" i="1" s="1"/>
  <c r="U145" i="1"/>
  <c r="L40" i="1" s="1"/>
  <c r="N122" i="1"/>
  <c r="F17" i="1" s="1"/>
  <c r="Q221" i="1"/>
  <c r="Q222" i="1"/>
  <c r="Q224" i="1"/>
  <c r="Q223" i="1"/>
  <c r="U119" i="1"/>
  <c r="L14" i="1" s="1"/>
  <c r="U137" i="1"/>
  <c r="L32" i="1" s="1"/>
  <c r="K55" i="1"/>
  <c r="K54" i="1"/>
  <c r="N42" i="1"/>
  <c r="Q42" i="1" s="1"/>
  <c r="U125" i="1"/>
  <c r="L20" i="1" s="1"/>
  <c r="K20" i="1"/>
  <c r="N142" i="1"/>
  <c r="F37" i="1" s="1"/>
  <c r="N49" i="1"/>
  <c r="Q49" i="1" s="1"/>
  <c r="N33" i="1"/>
  <c r="Q33" i="1" s="1"/>
  <c r="N154" i="1"/>
  <c r="F49" i="1" s="1"/>
  <c r="N117" i="1"/>
  <c r="F12" i="1" s="1"/>
  <c r="N153" i="1"/>
  <c r="F48" i="1" s="1"/>
  <c r="N22" i="1"/>
  <c r="Q22" i="1" s="1"/>
  <c r="Q279" i="1"/>
  <c r="U222" i="1"/>
  <c r="N44" i="1"/>
  <c r="Q44" i="1" s="1"/>
  <c r="K44" i="1"/>
  <c r="N51" i="1"/>
  <c r="Q51" i="1" s="1"/>
  <c r="N32" i="1"/>
  <c r="Q32" i="1" s="1"/>
  <c r="N407" i="1"/>
  <c r="N39" i="1"/>
  <c r="Q39" i="1" s="1"/>
  <c r="G25" i="5"/>
  <c r="K24" i="1"/>
  <c r="N426" i="1"/>
  <c r="N432" i="1"/>
  <c r="N414" i="1"/>
  <c r="N412" i="1"/>
  <c r="N406" i="1"/>
  <c r="N439" i="1"/>
  <c r="N408" i="1"/>
  <c r="N446" i="1"/>
  <c r="K26" i="1"/>
  <c r="N452" i="1"/>
  <c r="N424" i="1"/>
  <c r="N418" i="1"/>
  <c r="N410" i="1"/>
  <c r="N437" i="1"/>
  <c r="N449" i="1"/>
  <c r="N416" i="1"/>
  <c r="N164" i="1"/>
  <c r="F59" i="1" s="1"/>
  <c r="K47" i="1"/>
  <c r="N441" i="1"/>
  <c r="U151" i="1"/>
  <c r="L46" i="1" s="1"/>
  <c r="N436" i="1"/>
  <c r="N415" i="1"/>
  <c r="N453" i="1"/>
  <c r="N428" i="1"/>
  <c r="N445" i="1"/>
  <c r="N431" i="1"/>
  <c r="N420" i="1"/>
  <c r="M415" i="1" l="1"/>
  <c r="O415" i="1" s="1"/>
  <c r="M414" i="1"/>
  <c r="O414" i="1" s="1"/>
  <c r="M412" i="1"/>
  <c r="O412" i="1" s="1"/>
  <c r="M413" i="1"/>
  <c r="O413" i="1" s="1"/>
  <c r="M411" i="1"/>
  <c r="O411" i="1" s="1"/>
  <c r="M410" i="1"/>
  <c r="O410" i="1" s="1"/>
  <c r="M409" i="1"/>
  <c r="O409" i="1" s="1"/>
  <c r="M408" i="1"/>
  <c r="O408" i="1" s="1"/>
  <c r="AB14" i="1"/>
  <c r="B43" i="19" s="1"/>
  <c r="M407" i="1"/>
  <c r="O407" i="1" s="1"/>
  <c r="M406" i="1"/>
  <c r="O406" i="1" s="1"/>
  <c r="AB13" i="1"/>
  <c r="G28" i="5" s="1"/>
  <c r="AB12" i="1"/>
  <c r="D408" i="1"/>
  <c r="AB9" i="1"/>
  <c r="E406" i="1"/>
  <c r="M405" i="1"/>
  <c r="AB8" i="1"/>
  <c r="E407" i="1"/>
  <c r="M289" i="1"/>
  <c r="M290" i="1"/>
  <c r="M292" i="1"/>
  <c r="M291" i="1"/>
  <c r="N290" i="1"/>
  <c r="AI132" i="1"/>
  <c r="F407" i="1" l="1"/>
  <c r="I407" i="1" s="1"/>
  <c r="G407" i="1"/>
  <c r="J407" i="1" s="1"/>
  <c r="G38" i="5"/>
  <c r="F406" i="1"/>
  <c r="G406" i="1"/>
  <c r="J406" i="1" s="1"/>
  <c r="D409" i="1"/>
  <c r="G409" i="1" s="1"/>
  <c r="J409" i="1" s="1"/>
  <c r="G408" i="1"/>
  <c r="J408" i="1" s="1"/>
  <c r="F408" i="1"/>
  <c r="I408" i="1" s="1"/>
  <c r="E408" i="1"/>
  <c r="H408" i="1" s="1"/>
  <c r="AF15" i="1"/>
  <c r="G27" i="5" s="1"/>
  <c r="AB10" i="1"/>
  <c r="B42" i="19"/>
  <c r="B40" i="19" s="1"/>
  <c r="C40" i="19" s="1"/>
  <c r="F39" i="19" s="1"/>
  <c r="F43" i="19" s="1"/>
  <c r="G198" i="1"/>
  <c r="F201" i="1" s="1"/>
  <c r="G405" i="1"/>
  <c r="J405" i="1" s="1"/>
  <c r="F405" i="1"/>
  <c r="I9" i="1"/>
  <c r="AH106" i="1" s="1"/>
  <c r="G114" i="1"/>
  <c r="I14" i="1"/>
  <c r="I10" i="1"/>
  <c r="I12" i="1"/>
  <c r="I13" i="1"/>
  <c r="I15" i="1"/>
  <c r="I19" i="1"/>
  <c r="I20" i="1"/>
  <c r="I11" i="1"/>
  <c r="I18" i="1"/>
  <c r="I16" i="1"/>
  <c r="I17" i="1"/>
  <c r="I21" i="1"/>
  <c r="O405" i="1"/>
  <c r="M457" i="1"/>
  <c r="E399" i="1" s="1"/>
  <c r="K408" i="1" l="1"/>
  <c r="K407" i="1"/>
  <c r="AH16" i="1"/>
  <c r="AF16" i="1" s="1"/>
  <c r="G29" i="5" s="1"/>
  <c r="H407" i="1"/>
  <c r="E409" i="1"/>
  <c r="D410" i="1"/>
  <c r="F410" i="1" s="1"/>
  <c r="I410" i="1" s="1"/>
  <c r="F409" i="1"/>
  <c r="I409" i="1" s="1"/>
  <c r="K409" i="1" s="1"/>
  <c r="I406" i="1"/>
  <c r="K406" i="1" s="1"/>
  <c r="H406" i="1"/>
  <c r="F42" i="19"/>
  <c r="AB45" i="1"/>
  <c r="I405" i="1"/>
  <c r="K405" i="1" s="1"/>
  <c r="H405" i="1"/>
  <c r="F202" i="1"/>
  <c r="G201" i="1"/>
  <c r="G115" i="1"/>
  <c r="G117" i="1"/>
  <c r="G121" i="1"/>
  <c r="G119" i="1"/>
  <c r="G116" i="1"/>
  <c r="G118" i="1"/>
  <c r="G122" i="1"/>
  <c r="G120" i="1"/>
  <c r="G123" i="1"/>
  <c r="O457" i="1"/>
  <c r="O459" i="1"/>
  <c r="H409" i="1" l="1"/>
  <c r="D411" i="1"/>
  <c r="H411" i="1" s="1"/>
  <c r="K410" i="1"/>
  <c r="G410" i="1"/>
  <c r="J410" i="1" s="1"/>
  <c r="H410" i="1"/>
  <c r="E410" i="1"/>
  <c r="G202" i="1"/>
  <c r="F203" i="1"/>
  <c r="O458" i="1"/>
  <c r="AB16" i="1"/>
  <c r="O460" i="1"/>
  <c r="AB15" i="1"/>
  <c r="G124" i="1"/>
  <c r="E411" i="1" l="1"/>
  <c r="D412" i="1"/>
  <c r="E412" i="1" s="1"/>
  <c r="G411" i="1"/>
  <c r="J411" i="1" s="1"/>
  <c r="F411" i="1"/>
  <c r="I411" i="1" s="1"/>
  <c r="K411" i="1"/>
  <c r="F204" i="1"/>
  <c r="G203" i="1"/>
  <c r="AB17" i="1"/>
  <c r="AE124" i="1"/>
  <c r="AM124" i="1"/>
  <c r="M246" i="1"/>
  <c r="B32" i="19"/>
  <c r="AB18" i="1"/>
  <c r="Q278" i="1" s="1"/>
  <c r="M210" i="1"/>
  <c r="B33" i="19"/>
  <c r="AE125" i="1"/>
  <c r="AM125" i="1"/>
  <c r="M247" i="1"/>
  <c r="N247" i="1" s="1"/>
  <c r="G11" i="1"/>
  <c r="G12" i="1"/>
  <c r="G10" i="1"/>
  <c r="G16" i="1"/>
  <c r="G13" i="1"/>
  <c r="G14" i="1"/>
  <c r="G9" i="1"/>
  <c r="G19" i="1"/>
  <c r="G20" i="1"/>
  <c r="G21" i="1"/>
  <c r="G18" i="1"/>
  <c r="G15" i="1"/>
  <c r="G17" i="1"/>
  <c r="F412" i="1"/>
  <c r="I412" i="1" s="1"/>
  <c r="D413" i="1" l="1"/>
  <c r="E413" i="1" s="1"/>
  <c r="G412" i="1"/>
  <c r="J412" i="1" s="1"/>
  <c r="K412" i="1"/>
  <c r="H412" i="1"/>
  <c r="AM127" i="1"/>
  <c r="AB34" i="1" s="1"/>
  <c r="AG202" i="1" s="1"/>
  <c r="AG203" i="1" s="1"/>
  <c r="Q277" i="1"/>
  <c r="E198" i="1"/>
  <c r="D201" i="1" s="1"/>
  <c r="AI124" i="1"/>
  <c r="AJ124" i="1"/>
  <c r="AE138" i="1"/>
  <c r="M203" i="1" s="1"/>
  <c r="B30" i="19"/>
  <c r="C30" i="19" s="1"/>
  <c r="F29" i="19" s="1"/>
  <c r="F32" i="19" s="1"/>
  <c r="G204" i="1"/>
  <c r="F205" i="1"/>
  <c r="N289" i="1"/>
  <c r="M295" i="1"/>
  <c r="Q282" i="1" s="1"/>
  <c r="AE165" i="1"/>
  <c r="AE166" i="1"/>
  <c r="AE131" i="1"/>
  <c r="AE127" i="1"/>
  <c r="AF138" i="1" s="1"/>
  <c r="AE163" i="1"/>
  <c r="AE129" i="1"/>
  <c r="AE167" i="1"/>
  <c r="AE130" i="1"/>
  <c r="AE133" i="1"/>
  <c r="AE164" i="1"/>
  <c r="AE132" i="1"/>
  <c r="M216" i="1"/>
  <c r="M211" i="1"/>
  <c r="N246" i="1"/>
  <c r="N248" i="1"/>
  <c r="K413" i="1"/>
  <c r="G413" i="1"/>
  <c r="J413" i="1" s="1"/>
  <c r="H413" i="1"/>
  <c r="D414" i="1" l="1"/>
  <c r="F413" i="1"/>
  <c r="I413" i="1" s="1"/>
  <c r="AE169" i="1"/>
  <c r="M205" i="1"/>
  <c r="M215" i="1"/>
  <c r="M204" i="1"/>
  <c r="M248" i="1"/>
  <c r="N249" i="1"/>
  <c r="N291" i="1"/>
  <c r="N292" i="1"/>
  <c r="AE135" i="1"/>
  <c r="AE136" i="1" s="1"/>
  <c r="G205" i="1"/>
  <c r="F206" i="1"/>
  <c r="AI127" i="1"/>
  <c r="AI130" i="1" s="1"/>
  <c r="AI126" i="1"/>
  <c r="E201" i="1"/>
  <c r="D202" i="1"/>
  <c r="U221" i="1"/>
  <c r="O225" i="1"/>
  <c r="M217" i="1" s="1"/>
  <c r="AF130" i="1"/>
  <c r="AF129" i="1"/>
  <c r="AF163" i="1"/>
  <c r="AF134" i="1"/>
  <c r="AF131" i="1"/>
  <c r="AF133" i="1"/>
  <c r="AF168" i="1"/>
  <c r="AF132" i="1"/>
  <c r="AF167" i="1"/>
  <c r="AF166" i="1"/>
  <c r="AF165" i="1"/>
  <c r="AF164" i="1"/>
  <c r="F33" i="19"/>
  <c r="F34" i="19" s="1"/>
  <c r="K414" i="1"/>
  <c r="E414" i="1"/>
  <c r="H414" i="1"/>
  <c r="F414" i="1"/>
  <c r="I414" i="1" s="1"/>
  <c r="G414" i="1"/>
  <c r="J414" i="1" s="1"/>
  <c r="D415" i="1"/>
  <c r="N293" i="1" l="1"/>
  <c r="N295" i="1" s="1"/>
  <c r="Q283" i="1" s="1"/>
  <c r="M249" i="1"/>
  <c r="O252" i="1" s="1"/>
  <c r="AF169" i="1"/>
  <c r="AI129" i="1"/>
  <c r="AI131" i="1" s="1"/>
  <c r="AJ131" i="1" s="1"/>
  <c r="AJ130" i="1" s="1"/>
  <c r="AA242" i="1"/>
  <c r="AF241" i="1" s="1"/>
  <c r="O251" i="1"/>
  <c r="M250" i="1"/>
  <c r="AF135" i="1"/>
  <c r="AF136" i="1" s="1"/>
  <c r="AE137" i="1" s="1"/>
  <c r="AB31" i="1" s="1"/>
  <c r="AC202" i="1" s="1"/>
  <c r="AC203" i="1" s="1"/>
  <c r="G206" i="1"/>
  <c r="F207" i="1"/>
  <c r="U223" i="1"/>
  <c r="U224" i="1"/>
  <c r="M219" i="1"/>
  <c r="D203" i="1"/>
  <c r="E202" i="1"/>
  <c r="H415" i="1"/>
  <c r="G415" i="1"/>
  <c r="J415" i="1" s="1"/>
  <c r="K415" i="1"/>
  <c r="E415" i="1"/>
  <c r="F415" i="1"/>
  <c r="I415" i="1" s="1"/>
  <c r="D416" i="1"/>
  <c r="AI133" i="1" l="1"/>
  <c r="AI134" i="1" s="1"/>
  <c r="AJ133" i="1"/>
  <c r="AJ134" i="1" s="1"/>
  <c r="F208" i="1"/>
  <c r="G207" i="1"/>
  <c r="AF244" i="1"/>
  <c r="AF243" i="1"/>
  <c r="AG241" i="1"/>
  <c r="AF242" i="1"/>
  <c r="E203" i="1"/>
  <c r="D204" i="1"/>
  <c r="U225" i="1"/>
  <c r="M225" i="1" s="1"/>
  <c r="M218" i="1" s="1"/>
  <c r="M220" i="1" s="1"/>
  <c r="H416" i="1"/>
  <c r="E416" i="1"/>
  <c r="K416" i="1"/>
  <c r="G416" i="1"/>
  <c r="J416" i="1" s="1"/>
  <c r="F416" i="1"/>
  <c r="I416" i="1" s="1"/>
  <c r="D417" i="1"/>
  <c r="G208" i="1" l="1"/>
  <c r="F209" i="1"/>
  <c r="E204" i="1"/>
  <c r="D205" i="1"/>
  <c r="AF246" i="1"/>
  <c r="AA243" i="1" s="1"/>
  <c r="AG244" i="1"/>
  <c r="AG242" i="1"/>
  <c r="AG243" i="1"/>
  <c r="AB242" i="1"/>
  <c r="E417" i="1"/>
  <c r="K417" i="1"/>
  <c r="H417" i="1"/>
  <c r="F417" i="1"/>
  <c r="I417" i="1" s="1"/>
  <c r="G417" i="1"/>
  <c r="J417" i="1" s="1"/>
  <c r="D418" i="1"/>
  <c r="G209" i="1" l="1"/>
  <c r="F210" i="1"/>
  <c r="AA245" i="1"/>
  <c r="AA248" i="1"/>
  <c r="AA252" i="1"/>
  <c r="AA244" i="1"/>
  <c r="AA247" i="1"/>
  <c r="AA254" i="1"/>
  <c r="AA249" i="1"/>
  <c r="AA246" i="1"/>
  <c r="AA251" i="1"/>
  <c r="AA253" i="1"/>
  <c r="AA255" i="1"/>
  <c r="AA250" i="1"/>
  <c r="E205" i="1"/>
  <c r="D206" i="1"/>
  <c r="AG246" i="1"/>
  <c r="AB243" i="1" s="1"/>
  <c r="K418" i="1"/>
  <c r="H418" i="1"/>
  <c r="E418" i="1"/>
  <c r="G418" i="1"/>
  <c r="J418" i="1" s="1"/>
  <c r="F418" i="1"/>
  <c r="I418" i="1" s="1"/>
  <c r="D419" i="1"/>
  <c r="AD251" i="1" l="1"/>
  <c r="AD250" i="1"/>
  <c r="D207" i="1"/>
  <c r="E206" i="1"/>
  <c r="AB255" i="1"/>
  <c r="AB253" i="1"/>
  <c r="AB254" i="1"/>
  <c r="AB249" i="1"/>
  <c r="AB247" i="1"/>
  <c r="AB244" i="1"/>
  <c r="AB248" i="1"/>
  <c r="AB250" i="1"/>
  <c r="AB246" i="1"/>
  <c r="AB252" i="1"/>
  <c r="AB245" i="1"/>
  <c r="AB251" i="1"/>
  <c r="F211" i="1"/>
  <c r="G210" i="1"/>
  <c r="AD252" i="1"/>
  <c r="AD253" i="1"/>
  <c r="G419" i="1"/>
  <c r="J419" i="1" s="1"/>
  <c r="E419" i="1"/>
  <c r="K419" i="1"/>
  <c r="H419" i="1"/>
  <c r="F419" i="1"/>
  <c r="I419" i="1" s="1"/>
  <c r="D420" i="1"/>
  <c r="AD254" i="1" l="1"/>
  <c r="P251" i="1" s="1"/>
  <c r="I245" i="1" s="1"/>
  <c r="AE253" i="1"/>
  <c r="AE252" i="1"/>
  <c r="AE250" i="1"/>
  <c r="G211" i="1"/>
  <c r="F212" i="1"/>
  <c r="AE251" i="1"/>
  <c r="D208" i="1"/>
  <c r="E207" i="1"/>
  <c r="E420" i="1"/>
  <c r="G420" i="1"/>
  <c r="J420" i="1" s="1"/>
  <c r="K420" i="1"/>
  <c r="H420" i="1"/>
  <c r="F420" i="1"/>
  <c r="I420" i="1" s="1"/>
  <c r="D421" i="1"/>
  <c r="I246" i="1" l="1"/>
  <c r="I247" i="1" s="1"/>
  <c r="I248" i="1" s="1"/>
  <c r="I249" i="1" s="1"/>
  <c r="M251" i="1" s="1"/>
  <c r="I251" i="1"/>
  <c r="I252" i="1" s="1"/>
  <c r="I253" i="1" s="1"/>
  <c r="E208" i="1"/>
  <c r="D209" i="1"/>
  <c r="F213" i="1"/>
  <c r="G212" i="1"/>
  <c r="AE254" i="1"/>
  <c r="P252" i="1" s="1"/>
  <c r="J245" i="1" s="1"/>
  <c r="E421" i="1"/>
  <c r="H421" i="1"/>
  <c r="K421" i="1"/>
  <c r="G421" i="1"/>
  <c r="J421" i="1" s="1"/>
  <c r="F421" i="1"/>
  <c r="I421" i="1" s="1"/>
  <c r="D422" i="1"/>
  <c r="J246" i="1" l="1"/>
  <c r="J247" i="1" s="1"/>
  <c r="J248" i="1" s="1"/>
  <c r="J251" i="1"/>
  <c r="J252" i="1" s="1"/>
  <c r="J253" i="1" s="1"/>
  <c r="J249" i="1" s="1"/>
  <c r="M252" i="1" s="1"/>
  <c r="G213" i="1"/>
  <c r="F214" i="1"/>
  <c r="D210" i="1"/>
  <c r="E209" i="1"/>
  <c r="K422" i="1"/>
  <c r="H422" i="1"/>
  <c r="G422" i="1"/>
  <c r="J422" i="1" s="1"/>
  <c r="E422" i="1"/>
  <c r="F422" i="1"/>
  <c r="I422" i="1" s="1"/>
  <c r="D423" i="1"/>
  <c r="F215" i="1" l="1"/>
  <c r="G214" i="1"/>
  <c r="E210" i="1"/>
  <c r="D211" i="1"/>
  <c r="H423" i="1"/>
  <c r="G423" i="1"/>
  <c r="J423" i="1" s="1"/>
  <c r="E423" i="1"/>
  <c r="K423" i="1"/>
  <c r="F423" i="1"/>
  <c r="I423" i="1" s="1"/>
  <c r="D424" i="1"/>
  <c r="D212" i="1" l="1"/>
  <c r="E211" i="1"/>
  <c r="F216" i="1"/>
  <c r="G215" i="1"/>
  <c r="G424" i="1"/>
  <c r="J424" i="1" s="1"/>
  <c r="K424" i="1"/>
  <c r="H424" i="1"/>
  <c r="E424" i="1"/>
  <c r="F424" i="1"/>
  <c r="I424" i="1" s="1"/>
  <c r="D425" i="1"/>
  <c r="F217" i="1" l="1"/>
  <c r="G216" i="1"/>
  <c r="E212" i="1"/>
  <c r="D213" i="1"/>
  <c r="K425" i="1"/>
  <c r="F425" i="1"/>
  <c r="I425" i="1" s="1"/>
  <c r="H425" i="1"/>
  <c r="E425" i="1"/>
  <c r="G425" i="1"/>
  <c r="J425" i="1" s="1"/>
  <c r="D426" i="1"/>
  <c r="E213" i="1" l="1"/>
  <c r="D214" i="1"/>
  <c r="G217" i="1"/>
  <c r="F218" i="1"/>
  <c r="E426" i="1"/>
  <c r="K426" i="1"/>
  <c r="H426" i="1"/>
  <c r="G426" i="1"/>
  <c r="J426" i="1" s="1"/>
  <c r="F426" i="1"/>
  <c r="I426" i="1" s="1"/>
  <c r="D427" i="1"/>
  <c r="G218" i="1" l="1"/>
  <c r="F219" i="1"/>
  <c r="E214" i="1"/>
  <c r="D215" i="1"/>
  <c r="E427" i="1"/>
  <c r="H427" i="1"/>
  <c r="K427" i="1"/>
  <c r="F427" i="1"/>
  <c r="I427" i="1" s="1"/>
  <c r="G427" i="1"/>
  <c r="J427" i="1" s="1"/>
  <c r="D428" i="1"/>
  <c r="F220" i="1" l="1"/>
  <c r="G219" i="1"/>
  <c r="E215" i="1"/>
  <c r="D216" i="1"/>
  <c r="H428" i="1"/>
  <c r="G428" i="1"/>
  <c r="J428" i="1" s="1"/>
  <c r="K428" i="1"/>
  <c r="F428" i="1"/>
  <c r="I428" i="1" s="1"/>
  <c r="E428" i="1"/>
  <c r="D429" i="1"/>
  <c r="E216" i="1" l="1"/>
  <c r="D217" i="1"/>
  <c r="G220" i="1"/>
  <c r="F221" i="1"/>
  <c r="K429" i="1"/>
  <c r="E429" i="1"/>
  <c r="H429" i="1"/>
  <c r="F429" i="1"/>
  <c r="I429" i="1" s="1"/>
  <c r="D430" i="1"/>
  <c r="G429" i="1"/>
  <c r="J429" i="1" s="1"/>
  <c r="F222" i="1" l="1"/>
  <c r="G221" i="1"/>
  <c r="D218" i="1"/>
  <c r="E217" i="1"/>
  <c r="H430" i="1"/>
  <c r="E430" i="1"/>
  <c r="K430" i="1"/>
  <c r="G430" i="1"/>
  <c r="J430" i="1" s="1"/>
  <c r="F430" i="1"/>
  <c r="I430" i="1" s="1"/>
  <c r="D431" i="1"/>
  <c r="D219" i="1" l="1"/>
  <c r="E218" i="1"/>
  <c r="G222" i="1"/>
  <c r="F223" i="1"/>
  <c r="E431" i="1"/>
  <c r="K431" i="1"/>
  <c r="H431" i="1"/>
  <c r="G431" i="1"/>
  <c r="J431" i="1" s="1"/>
  <c r="F431" i="1"/>
  <c r="I431" i="1" s="1"/>
  <c r="D432" i="1"/>
  <c r="F224" i="1" l="1"/>
  <c r="G223" i="1"/>
  <c r="E219" i="1"/>
  <c r="D220" i="1"/>
  <c r="E432" i="1"/>
  <c r="H432" i="1"/>
  <c r="K432" i="1"/>
  <c r="F432" i="1"/>
  <c r="I432" i="1" s="1"/>
  <c r="D433" i="1"/>
  <c r="G432" i="1"/>
  <c r="J432" i="1" s="1"/>
  <c r="D221" i="1" l="1"/>
  <c r="E220" i="1"/>
  <c r="G224" i="1"/>
  <c r="F225" i="1"/>
  <c r="K433" i="1"/>
  <c r="H433" i="1"/>
  <c r="E433" i="1"/>
  <c r="F433" i="1"/>
  <c r="I433" i="1" s="1"/>
  <c r="G433" i="1"/>
  <c r="J433" i="1" s="1"/>
  <c r="D434" i="1"/>
  <c r="G225" i="1" l="1"/>
  <c r="F226" i="1"/>
  <c r="D222" i="1"/>
  <c r="E221" i="1"/>
  <c r="G434" i="1"/>
  <c r="J434" i="1" s="1"/>
  <c r="E434" i="1"/>
  <c r="F434" i="1"/>
  <c r="I434" i="1" s="1"/>
  <c r="H434" i="1"/>
  <c r="K434" i="1"/>
  <c r="D435" i="1"/>
  <c r="F227" i="1" l="1"/>
  <c r="G226" i="1"/>
  <c r="E222" i="1"/>
  <c r="D223" i="1"/>
  <c r="H435" i="1"/>
  <c r="K435" i="1"/>
  <c r="E435" i="1"/>
  <c r="G435" i="1"/>
  <c r="J435" i="1" s="1"/>
  <c r="F435" i="1"/>
  <c r="I435" i="1" s="1"/>
  <c r="D436" i="1"/>
  <c r="E223" i="1" l="1"/>
  <c r="D224" i="1"/>
  <c r="F228" i="1"/>
  <c r="G227" i="1"/>
  <c r="K436" i="1"/>
  <c r="E436" i="1"/>
  <c r="H436" i="1"/>
  <c r="G436" i="1"/>
  <c r="J436" i="1" s="1"/>
  <c r="F436" i="1"/>
  <c r="I436" i="1" s="1"/>
  <c r="D437" i="1"/>
  <c r="G228" i="1" l="1"/>
  <c r="F229" i="1"/>
  <c r="D225" i="1"/>
  <c r="E224" i="1"/>
  <c r="H437" i="1"/>
  <c r="F437" i="1"/>
  <c r="I437" i="1" s="1"/>
  <c r="K437" i="1"/>
  <c r="E437" i="1"/>
  <c r="G437" i="1"/>
  <c r="J437" i="1" s="1"/>
  <c r="D438" i="1"/>
  <c r="G229" i="1" l="1"/>
  <c r="F230" i="1"/>
  <c r="E225" i="1"/>
  <c r="D226" i="1"/>
  <c r="G438" i="1"/>
  <c r="J438" i="1" s="1"/>
  <c r="K438" i="1"/>
  <c r="H438" i="1"/>
  <c r="E438" i="1"/>
  <c r="F438" i="1"/>
  <c r="I438" i="1" s="1"/>
  <c r="D439" i="1"/>
  <c r="E226" i="1" l="1"/>
  <c r="D227" i="1"/>
  <c r="G230" i="1"/>
  <c r="F231" i="1"/>
  <c r="H439" i="1"/>
  <c r="E439" i="1"/>
  <c r="K439" i="1"/>
  <c r="F439" i="1"/>
  <c r="I439" i="1" s="1"/>
  <c r="G439" i="1"/>
  <c r="J439" i="1" s="1"/>
  <c r="D440" i="1"/>
  <c r="F232" i="1" l="1"/>
  <c r="G231" i="1"/>
  <c r="E227" i="1"/>
  <c r="D228" i="1"/>
  <c r="E440" i="1"/>
  <c r="H440" i="1"/>
  <c r="K440" i="1"/>
  <c r="F440" i="1"/>
  <c r="I440" i="1" s="1"/>
  <c r="G440" i="1"/>
  <c r="J440" i="1" s="1"/>
  <c r="D441" i="1"/>
  <c r="E228" i="1" l="1"/>
  <c r="D229" i="1"/>
  <c r="G232" i="1"/>
  <c r="F233" i="1"/>
  <c r="H441" i="1"/>
  <c r="K441" i="1"/>
  <c r="G441" i="1"/>
  <c r="J441" i="1" s="1"/>
  <c r="E441" i="1"/>
  <c r="F441" i="1"/>
  <c r="I441" i="1" s="1"/>
  <c r="D442" i="1"/>
  <c r="E229" i="1" l="1"/>
  <c r="D230" i="1"/>
  <c r="G233" i="1"/>
  <c r="F234" i="1"/>
  <c r="E442" i="1"/>
  <c r="H442" i="1"/>
  <c r="K442" i="1"/>
  <c r="F442" i="1"/>
  <c r="I442" i="1" s="1"/>
  <c r="G442" i="1"/>
  <c r="J442" i="1" s="1"/>
  <c r="D443" i="1"/>
  <c r="E230" i="1" l="1"/>
  <c r="D231" i="1"/>
  <c r="G234" i="1"/>
  <c r="F235" i="1"/>
  <c r="K443" i="1"/>
  <c r="F443" i="1"/>
  <c r="I443" i="1" s="1"/>
  <c r="H443" i="1"/>
  <c r="E443" i="1"/>
  <c r="G443" i="1"/>
  <c r="J443" i="1" s="1"/>
  <c r="D444" i="1"/>
  <c r="D232" i="1" l="1"/>
  <c r="E231" i="1"/>
  <c r="G235" i="1"/>
  <c r="F236" i="1"/>
  <c r="H444" i="1"/>
  <c r="E444" i="1"/>
  <c r="K444" i="1"/>
  <c r="F444" i="1"/>
  <c r="I444" i="1" s="1"/>
  <c r="G444" i="1"/>
  <c r="J444" i="1" s="1"/>
  <c r="D445" i="1"/>
  <c r="G236" i="1" l="1"/>
  <c r="F237" i="1"/>
  <c r="D233" i="1"/>
  <c r="E232" i="1"/>
  <c r="E445" i="1"/>
  <c r="H445" i="1"/>
  <c r="K445" i="1"/>
  <c r="F445" i="1"/>
  <c r="I445" i="1" s="1"/>
  <c r="G445" i="1"/>
  <c r="J445" i="1" s="1"/>
  <c r="D446" i="1"/>
  <c r="G237" i="1" l="1"/>
  <c r="F238" i="1"/>
  <c r="E233" i="1"/>
  <c r="D234" i="1"/>
  <c r="K446" i="1"/>
  <c r="E446" i="1"/>
  <c r="H446" i="1"/>
  <c r="G446" i="1"/>
  <c r="J446" i="1" s="1"/>
  <c r="F446" i="1"/>
  <c r="I446" i="1" s="1"/>
  <c r="D447" i="1"/>
  <c r="G238" i="1" l="1"/>
  <c r="F239" i="1"/>
  <c r="E234" i="1"/>
  <c r="D235" i="1"/>
  <c r="H447" i="1"/>
  <c r="G447" i="1"/>
  <c r="J447" i="1" s="1"/>
  <c r="K447" i="1"/>
  <c r="E447" i="1"/>
  <c r="F447" i="1"/>
  <c r="I447" i="1" s="1"/>
  <c r="D448" i="1"/>
  <c r="G239" i="1" l="1"/>
  <c r="F240" i="1"/>
  <c r="D236" i="1"/>
  <c r="E235" i="1"/>
  <c r="E448" i="1"/>
  <c r="G448" i="1"/>
  <c r="J448" i="1" s="1"/>
  <c r="H448" i="1"/>
  <c r="K448" i="1"/>
  <c r="F448" i="1"/>
  <c r="I448" i="1" s="1"/>
  <c r="D449" i="1"/>
  <c r="G240" i="1" l="1"/>
  <c r="F241" i="1"/>
  <c r="D237" i="1"/>
  <c r="E236" i="1"/>
  <c r="E449" i="1"/>
  <c r="K449" i="1"/>
  <c r="H449" i="1"/>
  <c r="F449" i="1"/>
  <c r="I449" i="1" s="1"/>
  <c r="G449" i="1"/>
  <c r="J449" i="1" s="1"/>
  <c r="D450" i="1"/>
  <c r="F242" i="1" l="1"/>
  <c r="G241" i="1"/>
  <c r="E237" i="1"/>
  <c r="D238" i="1"/>
  <c r="K450" i="1"/>
  <c r="H450" i="1"/>
  <c r="E450" i="1"/>
  <c r="F450" i="1"/>
  <c r="I450" i="1" s="1"/>
  <c r="G450" i="1"/>
  <c r="J450" i="1" s="1"/>
  <c r="D451" i="1"/>
  <c r="E238" i="1" l="1"/>
  <c r="D239" i="1"/>
  <c r="F243" i="1"/>
  <c r="G242" i="1"/>
  <c r="K451" i="1"/>
  <c r="H451" i="1"/>
  <c r="E451" i="1"/>
  <c r="F451" i="1"/>
  <c r="I451" i="1" s="1"/>
  <c r="G451" i="1"/>
  <c r="J451" i="1" s="1"/>
  <c r="D452" i="1"/>
  <c r="G243" i="1" l="1"/>
  <c r="F244" i="1"/>
  <c r="E239" i="1"/>
  <c r="D240" i="1"/>
  <c r="K452" i="1"/>
  <c r="E452" i="1"/>
  <c r="H452" i="1"/>
  <c r="G452" i="1"/>
  <c r="J452" i="1" s="1"/>
  <c r="D453" i="1"/>
  <c r="F452" i="1"/>
  <c r="I452" i="1" s="1"/>
  <c r="E240" i="1" l="1"/>
  <c r="D241" i="1"/>
  <c r="G244" i="1"/>
  <c r="F245" i="1"/>
  <c r="E453" i="1"/>
  <c r="F453" i="1"/>
  <c r="I453" i="1" s="1"/>
  <c r="H453" i="1"/>
  <c r="K453" i="1"/>
  <c r="D454" i="1"/>
  <c r="G453" i="1"/>
  <c r="J453" i="1" s="1"/>
  <c r="D242" i="1" l="1"/>
  <c r="E241" i="1"/>
  <c r="F246" i="1"/>
  <c r="G245" i="1"/>
  <c r="H454" i="1"/>
  <c r="H456" i="1" s="1"/>
  <c r="E401" i="1" s="1"/>
  <c r="K454" i="1"/>
  <c r="K456" i="1" s="1"/>
  <c r="E402" i="1" s="1"/>
  <c r="E454" i="1"/>
  <c r="G454" i="1"/>
  <c r="J454" i="1" s="1"/>
  <c r="F454" i="1"/>
  <c r="I454" i="1" s="1"/>
  <c r="G246" i="1" l="1"/>
  <c r="F247" i="1"/>
  <c r="G402" i="1"/>
  <c r="AB23" i="1" s="1"/>
  <c r="AB21" i="1"/>
  <c r="G401" i="1"/>
  <c r="AB26" i="1" s="1"/>
  <c r="AB25" i="1" s="1"/>
  <c r="AB24" i="1"/>
  <c r="D243" i="1"/>
  <c r="E242" i="1"/>
  <c r="E243" i="1" l="1"/>
  <c r="D244" i="1"/>
  <c r="G247" i="1"/>
  <c r="F248" i="1"/>
  <c r="AH25" i="1"/>
  <c r="AB22" i="1"/>
  <c r="G39" i="5" l="1"/>
  <c r="AI25" i="1"/>
  <c r="AF25" i="1" s="1"/>
  <c r="G37" i="5" s="1"/>
  <c r="Q2" i="1"/>
  <c r="W2" i="1" s="1"/>
  <c r="Q3" i="1" s="1"/>
  <c r="D245" i="1"/>
  <c r="E244" i="1"/>
  <c r="G248" i="1"/>
  <c r="F249" i="1"/>
  <c r="D19" i="1" l="1"/>
  <c r="D21" i="1"/>
  <c r="D20" i="1"/>
  <c r="D22" i="1"/>
  <c r="D15" i="1"/>
  <c r="D117" i="1" s="1"/>
  <c r="D18" i="1"/>
  <c r="D14" i="1"/>
  <c r="P11" i="1" s="1"/>
  <c r="D13" i="1"/>
  <c r="P10" i="1" s="1"/>
  <c r="D12" i="1"/>
  <c r="D17" i="1"/>
  <c r="D16" i="1"/>
  <c r="D118" i="1" s="1"/>
  <c r="E245" i="1"/>
  <c r="D246" i="1"/>
  <c r="G249" i="1"/>
  <c r="F250" i="1"/>
  <c r="Y12" i="1" l="1"/>
  <c r="Q124" i="1"/>
  <c r="Q122" i="1"/>
  <c r="Q123" i="1"/>
  <c r="Q121" i="1"/>
  <c r="M18" i="1"/>
  <c r="D123" i="1"/>
  <c r="Y18" i="1"/>
  <c r="AB124" i="1"/>
  <c r="P18" i="1"/>
  <c r="M12" i="1"/>
  <c r="P12" i="1"/>
  <c r="M16" i="1"/>
  <c r="D121" i="1"/>
  <c r="Y16" i="1"/>
  <c r="AB122" i="1"/>
  <c r="P16" i="1"/>
  <c r="M19" i="1"/>
  <c r="D124" i="1"/>
  <c r="AB125" i="1"/>
  <c r="Y19" i="1"/>
  <c r="P19" i="1"/>
  <c r="M17" i="1"/>
  <c r="Y17" i="1"/>
  <c r="D122" i="1"/>
  <c r="AB123" i="1"/>
  <c r="P17" i="1"/>
  <c r="M15" i="1"/>
  <c r="Y15" i="1"/>
  <c r="D120" i="1"/>
  <c r="AB121" i="1"/>
  <c r="P15" i="1"/>
  <c r="P9" i="1"/>
  <c r="Q120" i="1"/>
  <c r="Y11" i="1"/>
  <c r="D116" i="1"/>
  <c r="Y10" i="1"/>
  <c r="D115" i="1"/>
  <c r="M10" i="1"/>
  <c r="M11" i="1"/>
  <c r="Q119" i="1"/>
  <c r="Q118" i="1"/>
  <c r="D114" i="1"/>
  <c r="Q117" i="1"/>
  <c r="AB39" i="1"/>
  <c r="AB118" i="1"/>
  <c r="AB115" i="1"/>
  <c r="M13" i="1"/>
  <c r="D119" i="1"/>
  <c r="AE159" i="1"/>
  <c r="AE161" i="1" s="1"/>
  <c r="Q115" i="1"/>
  <c r="K10" i="1" s="1"/>
  <c r="AO125" i="1"/>
  <c r="Q114" i="1"/>
  <c r="N9" i="1" s="1"/>
  <c r="AB120" i="1"/>
  <c r="P14" i="1"/>
  <c r="M9" i="1"/>
  <c r="M14" i="1"/>
  <c r="Y14" i="1"/>
  <c r="P13" i="1"/>
  <c r="Q116" i="1"/>
  <c r="AB165" i="1"/>
  <c r="AB116" i="1"/>
  <c r="AB119" i="1"/>
  <c r="Y13" i="1"/>
  <c r="AO124" i="1"/>
  <c r="AE158" i="1"/>
  <c r="Y9" i="1"/>
  <c r="AB117" i="1"/>
  <c r="G250" i="1"/>
  <c r="F251" i="1"/>
  <c r="E246" i="1"/>
  <c r="D247" i="1"/>
  <c r="N16" i="1" l="1"/>
  <c r="Q16" i="1" s="1"/>
  <c r="K16" i="1"/>
  <c r="N18" i="1"/>
  <c r="Q18" i="1" s="1"/>
  <c r="K18" i="1"/>
  <c r="N17" i="1"/>
  <c r="Q17" i="1" s="1"/>
  <c r="K17" i="1"/>
  <c r="N19" i="1"/>
  <c r="Q19" i="1" s="1"/>
  <c r="K19" i="1"/>
  <c r="K15" i="1"/>
  <c r="N15" i="1"/>
  <c r="Q15" i="1" s="1"/>
  <c r="AE172" i="1"/>
  <c r="K14" i="1"/>
  <c r="N14" i="1"/>
  <c r="Q14" i="1" s="1"/>
  <c r="K13" i="1"/>
  <c r="N13" i="1"/>
  <c r="Q13" i="1" s="1"/>
  <c r="K12" i="1"/>
  <c r="N12" i="1"/>
  <c r="Q12" i="1" s="1"/>
  <c r="K9" i="1"/>
  <c r="AO127" i="1"/>
  <c r="AB41" i="1" s="1"/>
  <c r="N10" i="1"/>
  <c r="Q10" i="1" s="1"/>
  <c r="AB11" i="1"/>
  <c r="AH107" i="1"/>
  <c r="P61" i="1"/>
  <c r="AE170" i="1"/>
  <c r="AF172" i="1"/>
  <c r="AF170" i="1"/>
  <c r="N11" i="1"/>
  <c r="Q11" i="1" s="1"/>
  <c r="K11" i="1"/>
  <c r="Q9" i="1"/>
  <c r="E247" i="1"/>
  <c r="D248" i="1"/>
  <c r="G251" i="1"/>
  <c r="F252" i="1"/>
  <c r="AG209" i="1" l="1"/>
  <c r="AG210" i="1" s="1"/>
  <c r="AF26" i="1"/>
  <c r="AF29" i="1" s="1"/>
  <c r="AF27" i="1" s="1"/>
  <c r="G41" i="5" s="1"/>
  <c r="G40" i="5"/>
  <c r="AE106" i="1"/>
  <c r="AQ30" i="1"/>
  <c r="AR39" i="1" s="1"/>
  <c r="G45" i="5" s="1"/>
  <c r="AE105" i="1"/>
  <c r="AB32" i="1"/>
  <c r="AE171" i="1"/>
  <c r="AB38" i="1"/>
  <c r="AC209" i="1" s="1"/>
  <c r="AC210" i="1" s="1"/>
  <c r="AE114" i="1"/>
  <c r="AE115" i="1"/>
  <c r="AB33" i="1"/>
  <c r="AE202" i="1" s="1"/>
  <c r="AE203" i="1" s="1"/>
  <c r="Q61" i="1"/>
  <c r="AJ35" i="1"/>
  <c r="AB35" i="1"/>
  <c r="G252" i="1"/>
  <c r="F253" i="1"/>
  <c r="E248" i="1"/>
  <c r="D249" i="1"/>
  <c r="AE110" i="1" l="1"/>
  <c r="AG118" i="1"/>
  <c r="AE118" i="1" s="1"/>
  <c r="AI107" i="1"/>
  <c r="AI106" i="1"/>
  <c r="AB40" i="1"/>
  <c r="AE209" i="1" s="1"/>
  <c r="AE210" i="1" s="1"/>
  <c r="AE109" i="1"/>
  <c r="AB42" i="1"/>
  <c r="AG119" i="1"/>
  <c r="AE119" i="1" s="1"/>
  <c r="E249" i="1"/>
  <c r="D250" i="1"/>
  <c r="G253" i="1"/>
  <c r="F254" i="1"/>
  <c r="G254" i="1" l="1"/>
  <c r="F255" i="1"/>
  <c r="D251" i="1"/>
  <c r="E250" i="1"/>
  <c r="D252" i="1" l="1"/>
  <c r="E251" i="1"/>
  <c r="G255" i="1"/>
  <c r="F256" i="1"/>
  <c r="G256" i="1" l="1"/>
  <c r="F257" i="1"/>
  <c r="E252" i="1"/>
  <c r="D253" i="1"/>
  <c r="F258" i="1" l="1"/>
  <c r="G257" i="1"/>
  <c r="E253" i="1"/>
  <c r="D254" i="1"/>
  <c r="E254" i="1" l="1"/>
  <c r="D255" i="1"/>
  <c r="F259" i="1"/>
  <c r="G258" i="1"/>
  <c r="D256" i="1" l="1"/>
  <c r="E255" i="1"/>
  <c r="G259" i="1"/>
  <c r="F260" i="1"/>
  <c r="G260" i="1" l="1"/>
  <c r="F261" i="1"/>
  <c r="D257" i="1"/>
  <c r="E256" i="1"/>
  <c r="F262" i="1" l="1"/>
  <c r="G261" i="1"/>
  <c r="E257" i="1"/>
  <c r="D258" i="1"/>
  <c r="E258" i="1" l="1"/>
  <c r="D259" i="1"/>
  <c r="G262" i="1"/>
  <c r="F263" i="1"/>
  <c r="F264" i="1" l="1"/>
  <c r="G263" i="1"/>
  <c r="D260" i="1"/>
  <c r="E259" i="1"/>
  <c r="E260" i="1" l="1"/>
  <c r="D261" i="1"/>
  <c r="G264" i="1"/>
  <c r="F265" i="1"/>
  <c r="E261" i="1" l="1"/>
  <c r="D262" i="1"/>
  <c r="F266" i="1"/>
  <c r="G265" i="1"/>
  <c r="D263" i="1" l="1"/>
  <c r="E262" i="1"/>
  <c r="G266" i="1"/>
  <c r="F267" i="1"/>
  <c r="F268" i="1" l="1"/>
  <c r="G267" i="1"/>
  <c r="E263" i="1"/>
  <c r="D264" i="1"/>
  <c r="E264" i="1" l="1"/>
  <c r="D265" i="1"/>
  <c r="F269" i="1"/>
  <c r="G268" i="1"/>
  <c r="E265" i="1" l="1"/>
  <c r="D266" i="1"/>
  <c r="F270" i="1"/>
  <c r="G269" i="1"/>
  <c r="E266" i="1" l="1"/>
  <c r="D267" i="1"/>
  <c r="G270" i="1"/>
  <c r="F271" i="1"/>
  <c r="F272" i="1" l="1"/>
  <c r="G271" i="1"/>
  <c r="E267" i="1"/>
  <c r="D268" i="1"/>
  <c r="E268" i="1" l="1"/>
  <c r="D269" i="1"/>
  <c r="G272" i="1"/>
  <c r="F273" i="1"/>
  <c r="E269" i="1" l="1"/>
  <c r="D270" i="1"/>
  <c r="F274" i="1"/>
  <c r="G273" i="1"/>
  <c r="E270" i="1" l="1"/>
  <c r="D271" i="1"/>
  <c r="F275" i="1"/>
  <c r="G274" i="1"/>
  <c r="E271" i="1" l="1"/>
  <c r="D272" i="1"/>
  <c r="G275" i="1"/>
  <c r="F276" i="1"/>
  <c r="E272" i="1" l="1"/>
  <c r="D273" i="1"/>
  <c r="G276" i="1"/>
  <c r="F277" i="1"/>
  <c r="E273" i="1" l="1"/>
  <c r="D274" i="1"/>
  <c r="G277" i="1"/>
  <c r="F278" i="1"/>
  <c r="G278" i="1" l="1"/>
  <c r="F279" i="1"/>
  <c r="E274" i="1"/>
  <c r="D275" i="1"/>
  <c r="G279" i="1" l="1"/>
  <c r="F280" i="1"/>
  <c r="E275" i="1"/>
  <c r="D276" i="1"/>
  <c r="E276" i="1" l="1"/>
  <c r="D277" i="1"/>
  <c r="G280" i="1"/>
  <c r="F281" i="1"/>
  <c r="D278" i="1" l="1"/>
  <c r="E277" i="1"/>
  <c r="G281" i="1"/>
  <c r="F282" i="1"/>
  <c r="G282" i="1" l="1"/>
  <c r="F283" i="1"/>
  <c r="E278" i="1"/>
  <c r="D279" i="1"/>
  <c r="G283" i="1" l="1"/>
  <c r="F284" i="1"/>
  <c r="E279" i="1"/>
  <c r="D280" i="1"/>
  <c r="E280" i="1" l="1"/>
  <c r="D281" i="1"/>
  <c r="G284" i="1"/>
  <c r="F285" i="1"/>
  <c r="G285" i="1" l="1"/>
  <c r="F286" i="1"/>
  <c r="E281" i="1"/>
  <c r="D282" i="1"/>
  <c r="E282" i="1" l="1"/>
  <c r="D283" i="1"/>
  <c r="G286" i="1"/>
  <c r="F287" i="1"/>
  <c r="E283" i="1" l="1"/>
  <c r="D284" i="1"/>
  <c r="F288" i="1"/>
  <c r="G287" i="1"/>
  <c r="G288" i="1" l="1"/>
  <c r="F289" i="1"/>
  <c r="E284" i="1"/>
  <c r="D285" i="1"/>
  <c r="D286" i="1" l="1"/>
  <c r="E285" i="1"/>
  <c r="F290" i="1"/>
  <c r="G289" i="1"/>
  <c r="G290" i="1" l="1"/>
  <c r="F291" i="1"/>
  <c r="E286" i="1"/>
  <c r="D287" i="1"/>
  <c r="D288" i="1" l="1"/>
  <c r="E287" i="1"/>
  <c r="G291" i="1"/>
  <c r="F292" i="1"/>
  <c r="G292" i="1" l="1"/>
  <c r="F293" i="1"/>
  <c r="D289" i="1"/>
  <c r="E288" i="1"/>
  <c r="G293" i="1" l="1"/>
  <c r="F294" i="1"/>
  <c r="E289" i="1"/>
  <c r="D290" i="1"/>
  <c r="E290" i="1" l="1"/>
  <c r="D291" i="1"/>
  <c r="G294" i="1"/>
  <c r="F295" i="1"/>
  <c r="G295" i="1" l="1"/>
  <c r="F296" i="1"/>
  <c r="E291" i="1"/>
  <c r="D292" i="1"/>
  <c r="E292" i="1" l="1"/>
  <c r="D293" i="1"/>
  <c r="G296" i="1"/>
  <c r="F297" i="1"/>
  <c r="E293" i="1" l="1"/>
  <c r="D294" i="1"/>
  <c r="G297" i="1"/>
  <c r="F298" i="1"/>
  <c r="F299" i="1" l="1"/>
  <c r="G298" i="1"/>
  <c r="D295" i="1"/>
  <c r="E294" i="1"/>
  <c r="E295" i="1" l="1"/>
  <c r="D296" i="1"/>
  <c r="F300" i="1"/>
  <c r="G300" i="1" s="1"/>
  <c r="G299" i="1"/>
  <c r="E296" i="1" l="1"/>
  <c r="D297" i="1"/>
  <c r="AD210" i="1"/>
  <c r="AF210" i="1"/>
  <c r="AH210" i="1" s="1"/>
  <c r="AB210" i="1"/>
  <c r="D298" i="1" l="1"/>
  <c r="E297" i="1"/>
  <c r="D299" i="1" l="1"/>
  <c r="E298" i="1"/>
  <c r="E299" i="1" l="1"/>
  <c r="D300" i="1"/>
  <c r="E300" i="1" s="1"/>
  <c r="AB203" i="1" l="1"/>
  <c r="AF203" i="1"/>
  <c r="AH203" i="1" s="1"/>
  <c r="AD203" i="1"/>
</calcChain>
</file>

<file path=xl/sharedStrings.xml><?xml version="1.0" encoding="utf-8"?>
<sst xmlns="http://schemas.openxmlformats.org/spreadsheetml/2006/main" count="1036" uniqueCount="678">
  <si>
    <t>Lognormal Plot "Y Scale"</t>
  </si>
  <si>
    <t>Normal Plot "Y Scale"</t>
  </si>
  <si>
    <t>DATA FOR BEST FIT LINE</t>
  </si>
  <si>
    <t>LN data vs Probit for best fit line</t>
  </si>
  <si>
    <t>Plot Position</t>
  </si>
  <si>
    <t>X Axis</t>
  </si>
  <si>
    <t>Y Axis</t>
  </si>
  <si>
    <t>X</t>
  </si>
  <si>
    <t>PLOT POS. 2 (NEEDED FOR SLOPE OF LINE) - Adjusted Plot Position</t>
  </si>
  <si>
    <t>&gt; OEL ?</t>
  </si>
  <si>
    <t>LN(Data)</t>
  </si>
  <si>
    <t>(x-mean)2</t>
  </si>
  <si>
    <t>(y-meany)2</t>
  </si>
  <si>
    <t>Mean</t>
  </si>
  <si>
    <t>SUM</t>
  </si>
  <si>
    <t>Least Squares Raw Data</t>
  </si>
  <si>
    <t>New Plot Point Attempt</t>
  </si>
  <si>
    <t>Slope</t>
  </si>
  <si>
    <t>Y</t>
  </si>
  <si>
    <t>Y Intercept</t>
  </si>
  <si>
    <t>Scale intercept</t>
  </si>
  <si>
    <t>Lowest Value</t>
  </si>
  <si>
    <t>Plot Points</t>
  </si>
  <si>
    <t>these are low and high probits for Y</t>
  </si>
  <si>
    <t>Find Max nearest multiple of 10 for log-prob plot Y axis</t>
  </si>
  <si>
    <t>Ranked Data for Better Plot</t>
  </si>
  <si>
    <t>Data for plot</t>
  </si>
  <si>
    <t>Determine Y cross Point</t>
  </si>
  <si>
    <t>No.</t>
  </si>
  <si>
    <t>Plot Data</t>
  </si>
  <si>
    <t>Z Value</t>
  </si>
  <si>
    <t>Ni</t>
  </si>
  <si>
    <t>Xi (Ranked)</t>
  </si>
  <si>
    <t>Data Rank</t>
  </si>
  <si>
    <t>Least Squares LN(Data)</t>
  </si>
  <si>
    <t>LN(X)</t>
  </si>
  <si>
    <t>X1=</t>
  </si>
  <si>
    <t>X2=</t>
  </si>
  <si>
    <t>PEP</t>
  </si>
  <si>
    <t>UTL - Lognormal</t>
  </si>
  <si>
    <t>UTL - Normal</t>
  </si>
  <si>
    <t>Calculate MVUE</t>
  </si>
  <si>
    <t>Check calc</t>
  </si>
  <si>
    <t>Z (95%)</t>
  </si>
  <si>
    <t>n</t>
  </si>
  <si>
    <t>Mean Ln(Data)</t>
  </si>
  <si>
    <t>G</t>
  </si>
  <si>
    <t>Mean (ln x)</t>
  </si>
  <si>
    <t>SD Ln(Data)</t>
  </si>
  <si>
    <t>A</t>
  </si>
  <si>
    <t>SD (ln x)</t>
  </si>
  <si>
    <t>SD</t>
  </si>
  <si>
    <t>B</t>
  </si>
  <si>
    <t>SD^2/2</t>
  </si>
  <si>
    <t>C</t>
  </si>
  <si>
    <t>UTL=</t>
  </si>
  <si>
    <t>term 1</t>
  </si>
  <si>
    <t>B^2</t>
  </si>
  <si>
    <t>term 2</t>
  </si>
  <si>
    <t>4AC</t>
  </si>
  <si>
    <t>term 3</t>
  </si>
  <si>
    <t>SQRT(B^2-4AC)</t>
  </si>
  <si>
    <t>term 4</t>
  </si>
  <si>
    <t>2A</t>
  </si>
  <si>
    <t>term 5</t>
  </si>
  <si>
    <t>U (UCL95%)</t>
  </si>
  <si>
    <t>term 6</t>
  </si>
  <si>
    <t>PEP (UCL95%)</t>
  </si>
  <si>
    <t>sum</t>
  </si>
  <si>
    <t>MVUE</t>
  </si>
  <si>
    <t>MLE</t>
  </si>
  <si>
    <t>Plotting the lognormal distribution</t>
  </si>
  <si>
    <t>99%ile/100=</t>
  </si>
  <si>
    <t>AM Plot</t>
  </si>
  <si>
    <t>95%ile Plot</t>
  </si>
  <si>
    <t>F(x)</t>
  </si>
  <si>
    <t>Estimated Arithmetic Mean  - MLE (OLD)</t>
  </si>
  <si>
    <t>1,95%LCL LogNorm t</t>
  </si>
  <si>
    <t>1,95%UCL LogNorm t</t>
  </si>
  <si>
    <t>LAND's Exact 95% 1-Sided CI's  (HEWETT AND GAUSER 1997)</t>
  </si>
  <si>
    <t>s(ln x) =</t>
  </si>
  <si>
    <t>For C LCL</t>
  </si>
  <si>
    <t>For C UCL</t>
  </si>
  <si>
    <t>s(ln x) to use=</t>
  </si>
  <si>
    <t>a</t>
  </si>
  <si>
    <t>n=</t>
  </si>
  <si>
    <t>b</t>
  </si>
  <si>
    <t>LCL %ile=</t>
  </si>
  <si>
    <t>c</t>
  </si>
  <si>
    <t>UCL %ile=</t>
  </si>
  <si>
    <t>d</t>
  </si>
  <si>
    <t xml:space="preserve"> MLE=</t>
  </si>
  <si>
    <t>e</t>
  </si>
  <si>
    <t>S' =</t>
  </si>
  <si>
    <t xml:space="preserve">f </t>
  </si>
  <si>
    <t>C, LCL=</t>
  </si>
  <si>
    <t>g</t>
  </si>
  <si>
    <t>C, UCL=</t>
  </si>
  <si>
    <t>h</t>
  </si>
  <si>
    <t>LCL=</t>
  </si>
  <si>
    <t>I</t>
  </si>
  <si>
    <t>UCL=</t>
  </si>
  <si>
    <t>F1</t>
  </si>
  <si>
    <t>F2</t>
  </si>
  <si>
    <t>C, UCL</t>
  </si>
  <si>
    <t>C, LCL</t>
  </si>
  <si>
    <t>F3</t>
  </si>
  <si>
    <t>0 to 2</t>
  </si>
  <si>
    <t>NA</t>
  </si>
  <si>
    <t>F4</t>
  </si>
  <si>
    <t>3 to 1001</t>
  </si>
  <si>
    <t>F5</t>
  </si>
  <si>
    <t>OLD HEWETT LAND METHOD COEFFICIENTS - NOT USED</t>
  </si>
  <si>
    <t>coefficients for C, 95% UCL</t>
  </si>
  <si>
    <t>Coefficients for Land's C, 95% LCL</t>
  </si>
  <si>
    <t>8 to 60</t>
  </si>
  <si>
    <t>6 to 60</t>
  </si>
  <si>
    <t>f</t>
  </si>
  <si>
    <t>i</t>
  </si>
  <si>
    <t>j</t>
  </si>
  <si>
    <t>Lookup rule for CL</t>
  </si>
  <si>
    <t>Coefficients for CL when n&gt;9</t>
  </si>
  <si>
    <t>LCL</t>
  </si>
  <si>
    <t>UCL</t>
  </si>
  <si>
    <t>Returns Coeff: n = 2 to 9</t>
  </si>
  <si>
    <t>z=</t>
  </si>
  <si>
    <t>Lookup</t>
  </si>
  <si>
    <t>"&lt;=3</t>
  </si>
  <si>
    <t>90% CI on Exceedence Estimate (Hewett from Odeh and Owen)</t>
  </si>
  <si>
    <t>&lt;0</t>
  </si>
  <si>
    <t>&lt;-6</t>
  </si>
  <si>
    <t>Calculated</t>
  </si>
  <si>
    <t>OEL=</t>
  </si>
  <si>
    <t>is LN OEL</t>
  </si>
  <si>
    <t>if CL&gt;0.999</t>
  </si>
  <si>
    <t>mean ln(x)=</t>
  </si>
  <si>
    <t>is GM</t>
  </si>
  <si>
    <t>if CL&lt;0.001</t>
  </si>
  <si>
    <t>sd ln(x)=</t>
  </si>
  <si>
    <t>is GSD</t>
  </si>
  <si>
    <t>if Z&gt;3</t>
  </si>
  <si>
    <t>CL if n &gt; 9</t>
  </si>
  <si>
    <t>if Z&lt;-6</t>
  </si>
  <si>
    <t>"-z=</t>
  </si>
  <si>
    <t>CI:</t>
  </si>
  <si>
    <t xml:space="preserve">%&gt;OEL = </t>
  </si>
  <si>
    <t>n&lt;10</t>
  </si>
  <si>
    <t>n&gt;9</t>
  </si>
  <si>
    <t>90%LCL=</t>
  </si>
  <si>
    <t>90%UCL=</t>
  </si>
  <si>
    <t>Matrix for CL Coefficients when n&lt;10:</t>
  </si>
  <si>
    <t>k</t>
  </si>
  <si>
    <t>CL if n&gt;9</t>
  </si>
  <si>
    <t>l</t>
  </si>
  <si>
    <t>0 to 3</t>
  </si>
  <si>
    <t>"-6 to &lt;0</t>
  </si>
  <si>
    <t>" &lt;  -6</t>
  </si>
  <si>
    <t>Hewett's Land's Exact Calculator</t>
  </si>
  <si>
    <t>Estimation of the</t>
  </si>
  <si>
    <t>95% LCL C-factor</t>
  </si>
  <si>
    <t>95% UCL C-factor</t>
  </si>
  <si>
    <t>GM =</t>
  </si>
  <si>
    <t>range:&gt;0.0</t>
  </si>
  <si>
    <t>GSD =</t>
  </si>
  <si>
    <t>range: 1.01-54.5</t>
  </si>
  <si>
    <t>n =</t>
  </si>
  <si>
    <t>range: 3 - 1001</t>
  </si>
  <si>
    <t>D</t>
  </si>
  <si>
    <t>95%LCL =</t>
  </si>
  <si>
    <t>E</t>
  </si>
  <si>
    <t>95%UCL =</t>
  </si>
  <si>
    <t>F</t>
  </si>
  <si>
    <t>H</t>
  </si>
  <si>
    <t>PDC data:</t>
  </si>
  <si>
    <t>gm =</t>
  </si>
  <si>
    <t>gsd =</t>
  </si>
  <si>
    <t>C-factor</t>
  </si>
  <si>
    <t xml:space="preserve">John, plug in the above numbers and you should get </t>
  </si>
  <si>
    <t xml:space="preserve">( 155.8902 - 4980.5367 ) as the 90% CI.  </t>
  </si>
  <si>
    <t>W Test Table</t>
  </si>
  <si>
    <t>W Percentage Table</t>
  </si>
  <si>
    <t>W alpha</t>
  </si>
  <si>
    <t>W Test Calculated</t>
  </si>
  <si>
    <t>d=</t>
  </si>
  <si>
    <t>k=</t>
  </si>
  <si>
    <t>Acecpt Normal or Lognormal?</t>
  </si>
  <si>
    <t>w=</t>
  </si>
  <si>
    <t>W (LN DATA)=</t>
  </si>
  <si>
    <t>ai</t>
  </si>
  <si>
    <t>xn-i+1</t>
  </si>
  <si>
    <t>xi</t>
  </si>
  <si>
    <t>ai(xn-i+1-xi)</t>
  </si>
  <si>
    <t>LN(xn-i+1)</t>
  </si>
  <si>
    <t>LN(xi)</t>
  </si>
  <si>
    <t>ai(LNxn-i+1-LN(xi)</t>
  </si>
  <si>
    <t>SUM =</t>
  </si>
  <si>
    <t>SUM=</t>
  </si>
  <si>
    <t>U_T FACTOR TABLE</t>
  </si>
  <si>
    <t>U_T</t>
  </si>
  <si>
    <t xml:space="preserve">Antall målinger: </t>
  </si>
  <si>
    <t>Antall målinger (3 til 5):</t>
  </si>
  <si>
    <t>Antall målinger (6 eller flere):</t>
  </si>
  <si>
    <t>Antatt fordeling:</t>
  </si>
  <si>
    <t>Antall målinger:</t>
  </si>
  <si>
    <t>Variasjonsbredde (spredning):</t>
  </si>
  <si>
    <t>Prosent over grenseverdi:</t>
  </si>
  <si>
    <t>Median:</t>
  </si>
  <si>
    <t>W-test for log-normal fordeling:</t>
  </si>
  <si>
    <t>W-test for normal fordeling:</t>
  </si>
  <si>
    <t>NORMAL FORDELING - STATISTIKK</t>
  </si>
  <si>
    <t>LOG-NORMAL FORDELING - STATISTIKK</t>
  </si>
  <si>
    <t xml:space="preserve">Veiledende konklusjon: </t>
  </si>
  <si>
    <t xml:space="preserve">PERIODISK OVERVÅKING </t>
  </si>
  <si>
    <t>n=4: maks &lt; 15% av GV</t>
  </si>
  <si>
    <t>n=5: maks &lt; 20% av GV</t>
  </si>
  <si>
    <t>n=3: maks &lt; 10% av GV</t>
  </si>
  <si>
    <t xml:space="preserve">SAMLET VURDERING (skriv inn): </t>
  </si>
  <si>
    <t>Grenseverdi</t>
  </si>
  <si>
    <t>J &lt; 0,25 -&gt; 36 mnd</t>
  </si>
  <si>
    <t>U_T (95, 70)</t>
  </si>
  <si>
    <t>J &gt;1-&gt; Tiltak og nye målinger</t>
  </si>
  <si>
    <t>Tiltak og nye målinger</t>
  </si>
  <si>
    <t>36 mnd</t>
  </si>
  <si>
    <t>n&lt;3 og detaljert kartlegging nødvendig -&gt; fullfør kartleggingen innen 6 mnd.</t>
  </si>
  <si>
    <t>mean =</t>
  </si>
  <si>
    <t>y bar =</t>
  </si>
  <si>
    <t>k =</t>
  </si>
  <si>
    <t xml:space="preserve">z = </t>
  </si>
  <si>
    <t>sd =</t>
  </si>
  <si>
    <t>n-k =</t>
  </si>
  <si>
    <t>f(z)=</t>
  </si>
  <si>
    <t>beta_mean =</t>
  </si>
  <si>
    <t>beta_gm =</t>
  </si>
  <si>
    <t>sy =</t>
  </si>
  <si>
    <t>LOD =</t>
  </si>
  <si>
    <t>f(sy,z) =</t>
  </si>
  <si>
    <t>X95 =</t>
  </si>
  <si>
    <t>x</t>
  </si>
  <si>
    <t>y</t>
  </si>
  <si>
    <t>% Censored</t>
  </si>
  <si>
    <t>GSD</t>
  </si>
  <si>
    <t>Z =</t>
  </si>
  <si>
    <t>Log-normal</t>
  </si>
  <si>
    <t>x bar =</t>
  </si>
  <si>
    <t>Normal</t>
  </si>
  <si>
    <t>x (mean)</t>
  </si>
  <si>
    <t>x (gm)</t>
  </si>
  <si>
    <t>UTL Plot</t>
  </si>
  <si>
    <t>Lnr</t>
  </si>
  <si>
    <t>kons (x)</t>
  </si>
  <si>
    <t>LOD (&lt;)</t>
  </si>
  <si>
    <t>Måleserie med innsatte beta verdier</t>
  </si>
  <si>
    <t>Antatt - Log normal</t>
  </si>
  <si>
    <t>Antatt Normal</t>
  </si>
  <si>
    <t xml:space="preserve">Bedriftsnavn: </t>
  </si>
  <si>
    <t xml:space="preserve">Kontaktperson: 
</t>
  </si>
  <si>
    <t xml:space="preserve">Postadresse: </t>
  </si>
  <si>
    <t>Prøvetakingen er initiert av:</t>
  </si>
  <si>
    <t>Forskningsprosjekt:</t>
  </si>
  <si>
    <t xml:space="preserve">Myndighetstilsyn: </t>
  </si>
  <si>
    <t xml:space="preserve">Bakgrunn for prøvetakingen: </t>
  </si>
  <si>
    <t>Prøvetakingssstrategi:</t>
  </si>
  <si>
    <t xml:space="preserve">Innledende vurdering: </t>
  </si>
  <si>
    <t>Før tiltak:</t>
  </si>
  <si>
    <t>Etter tiltak:</t>
  </si>
  <si>
    <t xml:space="preserve">Nei: </t>
  </si>
  <si>
    <t xml:space="preserve">Beskrivelse av arbeidet som utføres: </t>
  </si>
  <si>
    <t>Rep-stikkprøve:</t>
  </si>
  <si>
    <t>Worst-case stikkprøve:</t>
  </si>
  <si>
    <t>Forundersøkelse (3-5 målinger):</t>
  </si>
  <si>
    <t>Detaljert undersøkelse (flere enn 5 målinger):</t>
  </si>
  <si>
    <r>
      <rPr>
        <b/>
        <sz val="11"/>
        <rFont val="Arial"/>
        <family val="2"/>
      </rPr>
      <t xml:space="preserve">Ansvarlig person (for prøvetakingen): </t>
    </r>
    <r>
      <rPr>
        <b/>
        <u/>
        <sz val="11"/>
        <rFont val="Arial"/>
        <family val="2"/>
      </rPr>
      <t xml:space="preserve">
</t>
    </r>
    <r>
      <rPr>
        <sz val="11"/>
        <rFont val="Arial"/>
        <family val="2"/>
      </rPr>
      <t xml:space="preserve">Navn, bedrift, tlf./epost
</t>
    </r>
  </si>
  <si>
    <t xml:space="preserve">Virksomheten selv / BHT: </t>
  </si>
  <si>
    <t>Stillingskategori:</t>
  </si>
  <si>
    <t xml:space="preserve">Antall personer i aktuelle stilling / SEG: </t>
  </si>
  <si>
    <t>Prøvetakingen er foretatt:</t>
  </si>
  <si>
    <t>Utendørs</t>
  </si>
  <si>
    <t>Innendørs</t>
  </si>
  <si>
    <t>Type arbeidsplass:</t>
  </si>
  <si>
    <t>Fast</t>
  </si>
  <si>
    <t>Mobil / midlertidig</t>
  </si>
  <si>
    <t>Dato for prøvetakingen:</t>
  </si>
  <si>
    <t>Andre forhold av betydning (vær, produksjon etc.)</t>
  </si>
  <si>
    <t>Antall &lt; DG:</t>
  </si>
  <si>
    <t>Antall målinger under DG:</t>
  </si>
  <si>
    <t>Plotting the normal distribution</t>
  </si>
  <si>
    <t>B-subst x (norm)</t>
  </si>
  <si>
    <t>Periodisk måling:</t>
  </si>
  <si>
    <t>Mindre enn DG (&lt;)</t>
  </si>
  <si>
    <t xml:space="preserve">Måledata (normalisert i forhold til referansetid). </t>
  </si>
  <si>
    <t>n&gt;5 og J &lt; 0,2: Vurder eksponeringen og om periodisk måling er nødvendig.</t>
  </si>
  <si>
    <t>Vurder om nødvendig</t>
  </si>
  <si>
    <t>J &lt; 0,20 -&gt; Vurder behov for periodisk måling</t>
  </si>
  <si>
    <t>Coefficients for size n&gt;9</t>
  </si>
  <si>
    <t>z</t>
  </si>
  <si>
    <t>lookup</t>
  </si>
  <si>
    <t xml:space="preserve">l </t>
  </si>
  <si>
    <t>Bakgrunn for prøvetakingen</t>
  </si>
  <si>
    <t>Valgt fordeling:</t>
  </si>
  <si>
    <t>Language selection</t>
  </si>
  <si>
    <t>English</t>
  </si>
  <si>
    <t>Data</t>
  </si>
  <si>
    <t>Description</t>
  </si>
  <si>
    <t>ID</t>
  </si>
  <si>
    <t>Norwegian</t>
  </si>
  <si>
    <t>Title</t>
  </si>
  <si>
    <t>Velg Språk / Select Language:</t>
  </si>
  <si>
    <t>Kjemikalie</t>
  </si>
  <si>
    <t>STAT</t>
  </si>
  <si>
    <t>Konsentrasjon</t>
  </si>
  <si>
    <t>Målenummer</t>
  </si>
  <si>
    <t>AM</t>
  </si>
  <si>
    <t>95%il</t>
  </si>
  <si>
    <t>Eksponeringen over grenseverdi. Tiltak nødvendig.</t>
  </si>
  <si>
    <t>K1</t>
  </si>
  <si>
    <t>K2</t>
  </si>
  <si>
    <t>K3</t>
  </si>
  <si>
    <t>Ja</t>
  </si>
  <si>
    <t>Yes</t>
  </si>
  <si>
    <t>Nei</t>
  </si>
  <si>
    <t>No</t>
  </si>
  <si>
    <t>Fra STAT</t>
  </si>
  <si>
    <t>From STAT</t>
  </si>
  <si>
    <t>Norsk</t>
  </si>
  <si>
    <t xml:space="preserve">       (Andel av GV: </t>
  </si>
  <si>
    <t xml:space="preserve">       (Fraction of OEL: </t>
  </si>
  <si>
    <t>Antatt fordeling</t>
  </si>
  <si>
    <t>For få målinger over DG</t>
  </si>
  <si>
    <t>Eksponeringen kan trolig ansees som akseptabel.</t>
  </si>
  <si>
    <t>A1</t>
  </si>
  <si>
    <t>A2</t>
  </si>
  <si>
    <t>A3</t>
  </si>
  <si>
    <t>A4</t>
  </si>
  <si>
    <t>K11</t>
  </si>
  <si>
    <t>K12</t>
  </si>
  <si>
    <t>K13</t>
  </si>
  <si>
    <t>K14</t>
  </si>
  <si>
    <t>Konklusjon (n&gt;5)</t>
  </si>
  <si>
    <t>K4</t>
  </si>
  <si>
    <t>K15</t>
  </si>
  <si>
    <t>Andel av normalfordeling mindre enn null</t>
  </si>
  <si>
    <t>Prosent av en normalfordeling under null</t>
  </si>
  <si>
    <t>OVERALL ASSESSMENT (write):</t>
  </si>
  <si>
    <t>Measurement data (normalized to reference period)</t>
  </si>
  <si>
    <t>Chemical</t>
  </si>
  <si>
    <t>Selected distribution:</t>
  </si>
  <si>
    <t xml:space="preserve">Dette regnearket er utarbeidet som hjelp til vurdering av yrkeshygieniske målinger. Regnearket er basert på arbeidstilsynets veiledning og EN 689. </t>
  </si>
  <si>
    <t>OEL</t>
  </si>
  <si>
    <t>Less than DL (&lt;)</t>
  </si>
  <si>
    <t>Less than DL (use &lt;)</t>
  </si>
  <si>
    <t>Mindre enn DG (bruk &lt;)</t>
  </si>
  <si>
    <t>Number of measurements:</t>
  </si>
  <si>
    <t>Measurements below DL:</t>
  </si>
  <si>
    <t>Number of measurements (six or more):</t>
  </si>
  <si>
    <t>Antall målinger (seks eller flere):</t>
  </si>
  <si>
    <t>Assumed distribution:</t>
  </si>
  <si>
    <t>Estimated upper concentration (EUC 95%,70%):</t>
  </si>
  <si>
    <t>Estimert øvre konsentrasjon (EØK 95%,70%):</t>
  </si>
  <si>
    <t xml:space="preserve">Veiledende konklusjon (fra STAT): </t>
  </si>
  <si>
    <t>Periodic re-measurement:</t>
  </si>
  <si>
    <t>Proposed interval for re-measurement:</t>
  </si>
  <si>
    <t>Anbefalt ny kartlegging innen:</t>
  </si>
  <si>
    <t>n=3: max &lt; 10% of OEL</t>
  </si>
  <si>
    <t>n=4: max &lt; 15% of OEL</t>
  </si>
  <si>
    <t>n=5: max &lt; 20% of OEL</t>
  </si>
  <si>
    <t>Fra statistisk vurdering (STAT):</t>
  </si>
  <si>
    <t>From statistical assessment (STAT):</t>
  </si>
  <si>
    <t>Antall målinger - tre til fem:</t>
  </si>
  <si>
    <t>Number of measurements (n):</t>
  </si>
  <si>
    <t xml:space="preserve">Antall målinger (n): </t>
  </si>
  <si>
    <t>Number of measurements below DL (m):</t>
  </si>
  <si>
    <t>Antall målinger under DG (m):</t>
  </si>
  <si>
    <t>Range:</t>
  </si>
  <si>
    <t>Percentage above OEL:</t>
  </si>
  <si>
    <t>Aritmetisk middelverdi (AM):</t>
  </si>
  <si>
    <t>Arithmetic Mean (AM):</t>
  </si>
  <si>
    <t>W-test for log-normal distribution:</t>
  </si>
  <si>
    <t>W-test for normal distribution:</t>
  </si>
  <si>
    <t>95%il (estimat -z):</t>
  </si>
  <si>
    <t>Estimert Øvre Konsentrasjon - U_T (EØK 95%,70%):</t>
  </si>
  <si>
    <t>Estimated Upper Concentration - U_T (EUC 95%,70%):</t>
  </si>
  <si>
    <t>NORMAL DISTRIBUTION - STATISTICS</t>
  </si>
  <si>
    <t>Måledata</t>
  </si>
  <si>
    <t>Measurements</t>
  </si>
  <si>
    <t>Number of measurements (three to five):</t>
  </si>
  <si>
    <t>PERIODIC RE-MEASUREMENT:</t>
  </si>
  <si>
    <t>J &lt; 0,20 -&gt; Assess the need for re-measurement</t>
  </si>
  <si>
    <t>J &gt;1-&gt; Mitigation and new assessments</t>
  </si>
  <si>
    <t>Evaluate if needed</t>
  </si>
  <si>
    <t>Mitigation and new assessments</t>
  </si>
  <si>
    <t>Fraction of the normal distribution below zero</t>
  </si>
  <si>
    <t>Concentration</t>
  </si>
  <si>
    <t>Number</t>
  </si>
  <si>
    <t>EUC</t>
  </si>
  <si>
    <t>EØK</t>
  </si>
  <si>
    <t>Probability Plot and Least-Squares Best-Fit Line</t>
  </si>
  <si>
    <t>Log-Probability Plot and Least-Squares Best-Fit Line</t>
  </si>
  <si>
    <t>Exposure above OEL. Mitigation needed.</t>
  </si>
  <si>
    <t xml:space="preserve">The exposure is assumed to be acceptable. </t>
  </si>
  <si>
    <t>Either normal or log-normal distribution</t>
  </si>
  <si>
    <t>Percentage of the normal distribution below zero</t>
  </si>
  <si>
    <t>Number of measurements - three to five:</t>
  </si>
  <si>
    <t>Beslutningskriterier jfr. NS-EN 689:</t>
  </si>
  <si>
    <t>Suggested conclusion (from STAT):</t>
  </si>
  <si>
    <t>95%il (estimate -z):</t>
  </si>
  <si>
    <t>Andel over grenseverdi (%&gt;GV):</t>
  </si>
  <si>
    <t>Percentage above OEL (%&gt;OEL):</t>
  </si>
  <si>
    <t>In addition to a statistical evaluation of measurement data, a professional judgement has to be done. Document in "OVERAL ASSESSMENT"</t>
  </si>
  <si>
    <t>Suggested conclusion:</t>
  </si>
  <si>
    <t>Decision criteria ref. EN 689:</t>
  </si>
  <si>
    <t>n&gt;5 and J &lt; 0,2: Evaluate the exposure and if periodic re-measurement is needed.</t>
  </si>
  <si>
    <t>Log-normalfordelingsplott</t>
  </si>
  <si>
    <t>Normalfordelingsplott</t>
  </si>
  <si>
    <t>Veiledende konklusjon (n mindre enn seks):</t>
  </si>
  <si>
    <t>Suggested conclusion (n less than six):</t>
  </si>
  <si>
    <t>Overeksponering kan ikke utelukkes. Tiltak / detaljert kartlegging nødvendig.</t>
  </si>
  <si>
    <t xml:space="preserve">Over exposure cannot be ruled out. Mitigation / detailed assessment needed. </t>
  </si>
  <si>
    <t>Too few measurements above DL</t>
  </si>
  <si>
    <t>Hverken normal- eller log-normalfordeling</t>
  </si>
  <si>
    <t>Suggested conclusion (n six and above):</t>
  </si>
  <si>
    <t>Overeksponering kan ikke utelukkes. Tiltak nødvendig.</t>
  </si>
  <si>
    <t>EXP(mean Ln(x))*sum(t1, t2, t3, t4, t5, t6)</t>
  </si>
  <si>
    <t>t3=(($AA$126-1)^5)*(((($AA$125)^2)/2)^3)/(FACT(3)*(($AA$126)^3)*($AA$126+1)*($AA$126+3))</t>
  </si>
  <si>
    <t>t1=($AA$126-1)*((($AA$125)^2)/2)/$AA$126</t>
  </si>
  <si>
    <t>t2=(($AA$126-1)^3)*(((($AA$125)^2)/2)^2)/(FACT(2)*(($AA$126)^2)*($AA$126+1))</t>
  </si>
  <si>
    <t>t4=(($AA$126-1)^7)*(((($AA$125)^2)/2)^4)/(FACT(4)*(($AA$126)^4)*($AA$126+1)*($AA$126+3)*($AA$126+5))</t>
  </si>
  <si>
    <t>t5=(($AA$126-1)^9)*(((($AA$125)^2)/2)^5)/(FACT(5)*(($AA$126)^5)*($AA$126+1)*($AA$126+3)*($AA$126+5)*($AA$126+7))</t>
  </si>
  <si>
    <t>t6=(($AA$126-1)^11)*(($AA$127)^6)/((FACT(6))*(($AA$126)^6)*($AA$126+1)*($AA$126+3)*($AA$126+5)*($AA$126+7)*($AA$126+9))</t>
  </si>
  <si>
    <t>MVUE(max)</t>
  </si>
  <si>
    <t>Estimert Aritmetisk Middelverdi (MVUE):</t>
  </si>
  <si>
    <t>Estimated Arithmetic Mean (MVUE):</t>
  </si>
  <si>
    <t>Decision criteria ref NS-EN 689:</t>
  </si>
  <si>
    <t>Log-Sannsynlighetsplott og minste kvadratsums linjetilpassing</t>
  </si>
  <si>
    <t>Sannsynlighetsplott og minste kvadratsums linjetilpassing</t>
  </si>
  <si>
    <t>Assessment criteria ref. NS-EN 689:</t>
  </si>
  <si>
    <t>Standardavvik (SD):</t>
  </si>
  <si>
    <t>Geometrisk middelverdi (GM):</t>
  </si>
  <si>
    <t>Geometrisk standardavvik (GSD):</t>
  </si>
  <si>
    <t>Aritmetisk Middelverdi (AM):</t>
  </si>
  <si>
    <t>Standard Deviation (SD):</t>
  </si>
  <si>
    <t>Geometric Mean (GM):</t>
  </si>
  <si>
    <t>Geometric Standard Deviation (GSD):</t>
  </si>
  <si>
    <t>Dette regnearket er utarbeidet som hjelp til vurdering av yrkeshygieniske målinger. Regnearket er basert på arbeidstilsynets veiledning og ENS-N 689.  Regnearket er utarbeidet av frivillige i NYF. NYF eller andre som har bidratt til utvikling av regnearket kan ikke gjøres ansvarlig for eventuelle feil i regnearket eller feil vurderinger som følge av bruk av dette regnearket. For spørsmål ang. regnearket se www.nyf.no/fagrad</t>
  </si>
  <si>
    <t>Vurder og angi i "SAMLET VURDERING".</t>
  </si>
  <si>
    <t>Evaluate and describe in "OVERALL ASSESSMENT".</t>
  </si>
  <si>
    <t>&lt; DL</t>
  </si>
  <si>
    <t>Beta y</t>
  </si>
  <si>
    <t>Imputation for values below DL</t>
  </si>
  <si>
    <t>DL</t>
  </si>
  <si>
    <t>DL/sqrt(2)</t>
  </si>
  <si>
    <t>DL/2</t>
  </si>
  <si>
    <t>Col</t>
  </si>
  <si>
    <t>Methodes</t>
  </si>
  <si>
    <t>CD imputation:</t>
  </si>
  <si>
    <t>Data in col:</t>
  </si>
  <si>
    <t>B-subst x (am lnorm)</t>
  </si>
  <si>
    <t>B-subst x (gm lnorm)</t>
  </si>
  <si>
    <t>Data benyttet 
(se Verdier &lt; DG)</t>
  </si>
  <si>
    <t>Regler for håndtering av verdier under deteksjonsgrensen (DG):</t>
  </si>
  <si>
    <t>Sequential Data Plot
(measurement data used without censored data correction)</t>
  </si>
  <si>
    <t>Normal Distribution Plot</t>
  </si>
  <si>
    <t>Log-normal Distribution Plot</t>
  </si>
  <si>
    <t>Normal (a=0,05):</t>
  </si>
  <si>
    <t>Log-normal (a=0,05):</t>
  </si>
  <si>
    <t>From BetaF10</t>
  </si>
  <si>
    <t>x (without CD)</t>
  </si>
  <si>
    <t>stdev</t>
  </si>
  <si>
    <t>NorskCDM</t>
  </si>
  <si>
    <t>EnglishCDM</t>
  </si>
  <si>
    <t>1: DG</t>
  </si>
  <si>
    <t>2: DG/SQRT(2)</t>
  </si>
  <si>
    <t>3: DG/2</t>
  </si>
  <si>
    <t>4: Beta</t>
  </si>
  <si>
    <t>0: Anbefalt (se Regler for håndtering av verdier under DG)</t>
  </si>
  <si>
    <t>Max value measured (Max):</t>
  </si>
  <si>
    <t>Min value measured (Min):</t>
  </si>
  <si>
    <t>Høyeste målte verdi (Maks):</t>
  </si>
  <si>
    <t>Laveste målte verdi (Min):</t>
  </si>
  <si>
    <t>Geometric Mean</t>
  </si>
  <si>
    <t>Geometric SD</t>
  </si>
  <si>
    <t>Total logLikelihood</t>
  </si>
  <si>
    <t>Log likelihood of observations, given estimate of mean and SD</t>
  </si>
  <si>
    <t>Log-normal distribution</t>
  </si>
  <si>
    <t>Aritmetic Mean</t>
  </si>
  <si>
    <t>Based on a paper by Finkelstein and Verma,</t>
  </si>
  <si>
    <t>AIHAJ 62:195-198 (2001)</t>
  </si>
  <si>
    <t>Standard deviation of ln-transformed data (s_y):</t>
  </si>
  <si>
    <t>Std. Avvik av ln-transformerte data (s_y):</t>
  </si>
  <si>
    <t>Middelverdi av ln-transformerte data (ȳ):</t>
  </si>
  <si>
    <t>Average of ln-transformed data (ȳ):</t>
  </si>
  <si>
    <t>Metode for håndtering av verdier under DG:</t>
  </si>
  <si>
    <t>Estimated mean (AM):</t>
  </si>
  <si>
    <t>Estimated standard deviation:</t>
  </si>
  <si>
    <t>MLE method</t>
  </si>
  <si>
    <t>Only values &gt; LOD</t>
  </si>
  <si>
    <t>Mean ln-transformed data</t>
  </si>
  <si>
    <t>SD ln-transforemd data</t>
  </si>
  <si>
    <t xml:space="preserve">MLE (incl. all values) </t>
  </si>
  <si>
    <t>Standard deviation</t>
  </si>
  <si>
    <t>Normal distribution</t>
  </si>
  <si>
    <t>Measured value</t>
  </si>
  <si>
    <t>LN data</t>
  </si>
  <si>
    <t>&lt; LOD</t>
  </si>
  <si>
    <t>gsd</t>
  </si>
  <si>
    <t>mean</t>
  </si>
  <si>
    <t>GM</t>
  </si>
  <si>
    <t>n1</t>
  </si>
  <si>
    <t>n2</t>
  </si>
  <si>
    <t>m</t>
  </si>
  <si>
    <t>%Cens</t>
  </si>
  <si>
    <t>Best</t>
  </si>
  <si>
    <t>Eqvivalent</t>
  </si>
  <si>
    <t>Select</t>
  </si>
  <si>
    <t>Fig</t>
  </si>
  <si>
    <t>&gt;=1</t>
  </si>
  <si>
    <t>50-90</t>
  </si>
  <si>
    <t>&gt;=2</t>
  </si>
  <si>
    <t>&gt;=0</t>
  </si>
  <si>
    <t>Beta, DL/2</t>
  </si>
  <si>
    <t>B-sub</t>
  </si>
  <si>
    <t>DL/2, DL/sqrt(2)</t>
  </si>
  <si>
    <t>b-sub</t>
  </si>
  <si>
    <t>DL/Sqrt(2)</t>
  </si>
  <si>
    <t>5-25</t>
  </si>
  <si>
    <t>DL, B-sub</t>
  </si>
  <si>
    <t>MLE Cohens method</t>
  </si>
  <si>
    <t>50-75</t>
  </si>
  <si>
    <t>25-50</t>
  </si>
  <si>
    <t>LPR</t>
  </si>
  <si>
    <t>MLE, B-sub</t>
  </si>
  <si>
    <t>Methods for Censored data</t>
  </si>
  <si>
    <t>K=</t>
  </si>
  <si>
    <t>Select CDM:</t>
  </si>
  <si>
    <t>1: DL</t>
  </si>
  <si>
    <t>2: DL/SQRT(2)</t>
  </si>
  <si>
    <t>3: DL/2</t>
  </si>
  <si>
    <t>beta</t>
  </si>
  <si>
    <t>Default</t>
  </si>
  <si>
    <t>Data applied</t>
  </si>
  <si>
    <t>MLE (Cohen´s)</t>
  </si>
  <si>
    <t>Estimert Aritmetisk Middelverdi:</t>
  </si>
  <si>
    <t>Estimated Arithmetic Mean:</t>
  </si>
  <si>
    <t>γ</t>
  </si>
  <si>
    <t>FOR COHEN'S ESTIMATES ADJUSTING FOR NONDETECTED VALUES</t>
  </si>
  <si>
    <t>TABLE A-11,  VALUES OF THE PARAMETER  $</t>
  </si>
  <si>
    <t>h=</t>
  </si>
  <si>
    <t>mean_DL</t>
  </si>
  <si>
    <t>Valiues below DL</t>
  </si>
  <si>
    <t>sd x &gt; DL</t>
  </si>
  <si>
    <t>mean x&gt; DL</t>
  </si>
  <si>
    <t>lambda=</t>
  </si>
  <si>
    <t>γ =</t>
  </si>
  <si>
    <t>index</t>
  </si>
  <si>
    <t>mean_ln(DL)</t>
  </si>
  <si>
    <t>mean ln(x), x&gt; DL</t>
  </si>
  <si>
    <t>sd ln(x), x &gt; DL</t>
  </si>
  <si>
    <t>adjusted GM</t>
  </si>
  <si>
    <t>adjusted GSD</t>
  </si>
  <si>
    <t>adjusted AM</t>
  </si>
  <si>
    <t>adjusted SD</t>
  </si>
  <si>
    <t xml:space="preserve">Measurement </t>
  </si>
  <si>
    <t>ln(DL)</t>
  </si>
  <si>
    <t>Mean (Data)</t>
  </si>
  <si>
    <t>SD (Data)</t>
  </si>
  <si>
    <t>Method for handling left censored data:</t>
  </si>
  <si>
    <t>Upper 70% confidence limit to 95%il shall be below the OEL. If n &lt; 11 a log-normal distribution is assumed as default.</t>
  </si>
  <si>
    <t>Øvre 70% konfidensgrense til 95%til skal være under grenseverdien. Hvis n&lt;11 antas log-normalfordeling.</t>
  </si>
  <si>
    <t>Max exposure measured (Max):</t>
  </si>
  <si>
    <t>n.a</t>
  </si>
  <si>
    <t>Estimert Aritmetisk middelverdi (AM):</t>
  </si>
  <si>
    <t>Estimated Arithmetic Mean (AM):</t>
  </si>
  <si>
    <t>0: Recommended (see Applied rules for left censored data)</t>
  </si>
  <si>
    <t>Applied rules for handling left censored data (values below DL):</t>
  </si>
  <si>
    <t>Anvendte regler for håndtering av verdier under deteksjonsgrensen (DG):</t>
  </si>
  <si>
    <t>Maksimumsverdi (Maks):</t>
  </si>
  <si>
    <t>Høyeste målt verdi (Maks):</t>
  </si>
  <si>
    <t>En faglig vurdering nødvendig. Vurder informasjon i STAT.</t>
  </si>
  <si>
    <t>A statistical assessment cannot be conducted. Professional judgment needed.</t>
  </si>
  <si>
    <t>Forutsetningene for statistisk vurdering ikke tilstede. Faglig vurdering nødvendig.</t>
  </si>
  <si>
    <t>Kommentar:</t>
  </si>
  <si>
    <t>Comments:</t>
  </si>
  <si>
    <t>Serieplott
(måledata benyttet uten korrigering av verdier under DG)</t>
  </si>
  <si>
    <t>Regnearket er utarbeidet av frivillige i NYF. NYF eller andre som har bidratt til utvikling av regnearket kan ikke gjøres ansvarlig for eventuelle feil i regnearket eller feil vurderinger som følge av bruk av dette regnearket. For spørsmål angående regnearket se www.nyf.no/fagrad</t>
  </si>
  <si>
    <t>I tillegg til en statistisk vurdering av måleresultatene må det gjøres en faglig vurdering. Denne dokumenteres under "Samlet vurdering".</t>
  </si>
  <si>
    <t xml:space="preserve">This Excel spreadsheet is developed to aid industrial hygienists in assessing exposure measurements. The spreadsheet is based on EN 689 and a guideline from the Norwegian Labour Inspection Authority. </t>
  </si>
  <si>
    <t>The spreadsheet is developed by volunteers from the Norwegian Occupational Hygiene Association. All use is on your own responsibility. For more information see www.nyf.no/fagrad</t>
  </si>
  <si>
    <t>LOG-NORMAL DISTRIBUTION - STATISTICS</t>
  </si>
  <si>
    <t>36 months</t>
  </si>
  <si>
    <t>Rules for handling left censored data (values below DL):</t>
  </si>
  <si>
    <t xml:space="preserve">For antall målinger mindre enn deteksjonsgrensen (k): </t>
  </si>
  <si>
    <t>For number of measurements less than DL (k):</t>
  </si>
  <si>
    <t>TEST AV FORDELING (n&gt;2, k&gt;1):</t>
  </si>
  <si>
    <t>TEST of DISTRIBUTION (n&gt;2, k&gt;1):</t>
  </si>
  <si>
    <t>ANBEFALING</t>
  </si>
  <si>
    <t>RECOMMENDATION</t>
  </si>
  <si>
    <t>Forkortelser:</t>
  </si>
  <si>
    <t>Antall målinger</t>
  </si>
  <si>
    <t>Antall målinger under deteksjonsgrensen</t>
  </si>
  <si>
    <t>Antall målinger over deteksjonsgrensen</t>
  </si>
  <si>
    <t>Maks</t>
  </si>
  <si>
    <t>Min</t>
  </si>
  <si>
    <t>Spredning</t>
  </si>
  <si>
    <t>Median</t>
  </si>
  <si>
    <t xml:space="preserve">Median </t>
  </si>
  <si>
    <t>Middelverdi av ln-transformerte data</t>
  </si>
  <si>
    <t>Std. Avvik av ln-transformerte data</t>
  </si>
  <si>
    <t>s_y</t>
  </si>
  <si>
    <t>ȳ</t>
  </si>
  <si>
    <t>Prosent over grenseverdi</t>
  </si>
  <si>
    <t>Standardavvik</t>
  </si>
  <si>
    <t>Geometrisk middelverdi</t>
  </si>
  <si>
    <t>Geometrisk standardavvik</t>
  </si>
  <si>
    <t>Høyeste målte verdi</t>
  </si>
  <si>
    <t>Laveste målte verdi</t>
  </si>
  <si>
    <t>Variasjonsbredde</t>
  </si>
  <si>
    <t>Alle valg og innleggelse av måledata gjøres i fanen "DATA". Fanen "STAT" inneholder "Beskrivende statistikk", grafter og tester, som kan være nyttig i en faglig vurdering av måledatene.</t>
  </si>
  <si>
    <t xml:space="preserve">YH HJELP er to språklig (norsk og engelsk), støtter vurdering av måle data som er enten log-normal eller normal fordelte, samt fire ulike metoder for håndtering av måledata under deteksjonsgrensen. </t>
  </si>
  <si>
    <t>DATA -GUIDE</t>
  </si>
  <si>
    <t>Steg 5: Hvis måleverdier under deteksjonsgrensen (DG) angi dette med "&lt;".</t>
  </si>
  <si>
    <t>Steg 4: Legg inn måleverdier. Måleverdien må på forhånd være normalisert til referanseperioden valgt grenseverdi.</t>
  </si>
  <si>
    <t>Steg 6: Gå til fane "STAT", vurder om "YH HJELP"s vurdering av fordeling holder. Hvis ikke, korriger ved å velge enten "Log-normal" eller "Normal" (velg fra nedtrekksliste). Hvis verdier under deteksjonsgrensen, velg ønsket metode.</t>
  </si>
  <si>
    <t xml:space="preserve">Bruk av "YH HJELP" krever at du går via 7 steg. Disse er kort beskrevet nedenfor. For faglig veiledning henvises til Arbeidstilsynets og NYFs hjemmesider. De eneste feltene som kan skrives i / endres er de hvite feltene i fane "DATA". </t>
  </si>
  <si>
    <t xml:space="preserve">Use of "IH HELP" goes through seven steps. These are shortly described below. For professional guidance it is refered to the webpages of the "Norwegian Labour Inspection Authority" and "Norsk Yrkeshygienisk Forening" (NB! These are only available in Norwegian). Only the white cells can be edited. </t>
  </si>
  <si>
    <t>Veiledning i bruk av "YH HJELP"</t>
  </si>
  <si>
    <t>Guidance in use of "IH HELP"</t>
  </si>
  <si>
    <t xml:space="preserve">All measurement data is entered in the tab "DATA". In the tab "STAT" you will find descriptive statistics, graphs and tests that can be useful in assessing the data. </t>
  </si>
  <si>
    <t xml:space="preserve">IH HELP support two languages (Norwegian and English), data that is log-normal or normal distributed, four different methods for handling left censored data (e.g. data below the detection limit). </t>
  </si>
  <si>
    <t xml:space="preserve">Step 4: Enter your measurements. These have to be normalized / adjusted to the reference time of the OEL selected. </t>
  </si>
  <si>
    <t xml:space="preserve">Step 5: If your data is below the detection limit (DL), indicate this with "&lt;". </t>
  </si>
  <si>
    <t xml:space="preserve">Step 6: Go the tab "STAT" and make a professional judgement of the data. Use the descriptive statistics, graphs and tests as guidance. If appropriate, select distribution (log-normal or normal) or method for handling non detects manually. </t>
  </si>
  <si>
    <t xml:space="preserve">Step 7: Make a written overall professional judgement of your results. </t>
  </si>
  <si>
    <t>This Excel spreadsheet is developed to aid industrial hygienists in assessing exposure measurements. The spreadsheet is based on NS-EN 689 and a guideline from the Norwegian Labour Inspection Authority.  The spreadsheet is developed by volunteers from the Norwegian Occupational Hygiene Association. All use is on your own responsibility. For more information see www.nyf.no/fagrad</t>
  </si>
  <si>
    <t>-The uncertainty in the assessment will increase with few measurements, large deviation from log-normal or normal distribution, or a high fraction of measurements below the detection limit.</t>
  </si>
  <si>
    <t>n&lt;3 and detailed assessment needed -&gt; complete the assessment within 6 months</t>
  </si>
  <si>
    <t>J &lt; 0,25 -&gt; 36 months</t>
  </si>
  <si>
    <t>Data used
(See Values &lt; DL)</t>
  </si>
  <si>
    <t>Professional judgment needed. Examine STAT.</t>
  </si>
  <si>
    <t>Steg 7: Foreta en samlet skriftlig faglig vurdering av måleresultatene.</t>
  </si>
  <si>
    <t>Steg 1: Velg spåk (fra nedtrekksliste).</t>
  </si>
  <si>
    <t>Steg 2: Angi grenseverdi (GV).</t>
  </si>
  <si>
    <t>Sted 3: Angi navn på kjemikalie.</t>
  </si>
  <si>
    <t>Step 1: Select language (form drop-down).</t>
  </si>
  <si>
    <t>Step 2: Enter the Occupational Exposure Limit (OEL).</t>
  </si>
  <si>
    <t>Step 3: Enter name of chemical.</t>
  </si>
  <si>
    <t>AM  (MVUE)</t>
  </si>
  <si>
    <t>AM (MVUE)</t>
  </si>
  <si>
    <t>YH HJELP ver 1.0. (beta)</t>
  </si>
  <si>
    <t>- Usikkerheten i vurderingen vil være høy ved få målinger, stort avvik fra enten log-normal eller normal fordeling, eller ved høy andel målinger under deteksjonsgrensen.</t>
  </si>
  <si>
    <t>- n&lt;3, k&lt;=2: Deteksjonsgrensen (DG) benyttes.</t>
  </si>
  <si>
    <t>- n&gt;=3, k&gt;2: Beta metoden benyttes (ref Ganser and Hewett 2010)</t>
  </si>
  <si>
    <t>- n&lt;3, k&lt;= 2: The detection (DL) is used</t>
  </si>
  <si>
    <t>- n&gt;=3, k&gt;2: Beta method is used (Ganser and Hewett 2010)</t>
  </si>
  <si>
    <t xml:space="preserve">For antall målinger over deteksjonsgrensen (k): </t>
  </si>
  <si>
    <t>Number of measurements above the DL (k):</t>
  </si>
  <si>
    <t>´- If fraction below DL is low (&lt;10%) selection of method is of less importance for estimation of AM. For EUC the impact can be large. Measurements (x) can´t be "0" (zero).</t>
  </si>
  <si>
    <t>- Hvis andel under DG er mindre enn 10% betyr valg av metode lite for vurdering av AM, men kan ha stor betydning for vurdering av EØK. Måleverdiene (x) kan ikke være "0" (null).</t>
  </si>
  <si>
    <t>Antall &lt; DG (m):</t>
  </si>
  <si>
    <t>- Hvis andel under DG er mindre enn 10% betyr valg av metode lite for vurdering av AM, men kan ha stor betydning for vurdering av EØK. Måledata (x) kan ikke være "0" (null).</t>
  </si>
  <si>
    <t>´- If fraction below DL is low (&lt;10%) selection of method is of less importance for estimation of AM. For EUC the impact can be large. Measurement (x) can´t be "0" (zero).</t>
  </si>
  <si>
    <r>
      <rPr>
        <b/>
        <sz val="12"/>
        <rFont val="Calibri"/>
        <family val="2"/>
        <scheme val="minor"/>
      </rPr>
      <t>Om "POPULASJONEN" av eksponering:</t>
    </r>
    <r>
      <rPr>
        <sz val="12"/>
        <rFont val="Calibri"/>
        <family val="2"/>
        <scheme val="minor"/>
      </rPr>
      <t xml:space="preserve">
(For verdier under deteksjonsgrensen (DG) er valgt metode benyttet.)</t>
    </r>
  </si>
  <si>
    <r>
      <rPr>
        <b/>
        <sz val="12"/>
        <rFont val="Calibri"/>
        <family val="2"/>
        <scheme val="minor"/>
      </rPr>
      <t>About the "POPULATION" of exposure:</t>
    </r>
    <r>
      <rPr>
        <sz val="12"/>
        <rFont val="Calibri"/>
        <family val="2"/>
        <scheme val="minor"/>
      </rPr>
      <t xml:space="preserve">
(For measurements below the DL selected method  is applied.)</t>
    </r>
  </si>
  <si>
    <t>Om "UTVALGET": 
BESKRIVENDE STATISTIKK (verdier &gt; DG):</t>
  </si>
  <si>
    <t>About the "SAMPLE": 
DESCRIPTIVE STATISTICS (values &gt; DL):</t>
  </si>
  <si>
    <t xml:space="preserve">Statistical evaluation according to Alt 3 Annex I NS-EN 689: </t>
  </si>
  <si>
    <t xml:space="preserve">Statistisk vurdering Alt 3 Annex I NS-EN 689: </t>
  </si>
  <si>
    <t>Perform periodic re-measurement after (intervall given in EN 689 in ()):</t>
  </si>
  <si>
    <t xml:space="preserve">Periodisk måling etter (intervall i EN 689 i ()): </t>
  </si>
  <si>
    <t>J &gt; 0,5 og J &lt; 1 -&gt; 12 (24) mnd</t>
  </si>
  <si>
    <t>J &gt; 0,25 og J &lt; 0,5 -&gt; 24 (30) mnd</t>
  </si>
  <si>
    <t>J &gt; 0,25 and J &lt; 0,5 -&gt; 24 (30) months</t>
  </si>
  <si>
    <t>J &gt; 0,5 and J &lt; 1 -&gt; 12 (24) months</t>
  </si>
  <si>
    <t>24 (30) mnd</t>
  </si>
  <si>
    <t>12(24) mnd</t>
  </si>
  <si>
    <t>12 (24) months</t>
  </si>
  <si>
    <t>24 (30) months</t>
  </si>
  <si>
    <t>YH HJELP ver 1.0.3 (beta)</t>
  </si>
  <si>
    <t>&lt;</t>
  </si>
  <si>
    <t>Lurium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</si>
</sst>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0000"/>
    <numFmt numFmtId="166" formatCode="0.0000"/>
    <numFmt numFmtId="167" formatCode="0.0"/>
  </numFmts>
  <fonts count="45" x14ac:knownFonts="1">
    <font>
      <sz val="10"/>
      <name val="Geneva"/>
    </font>
    <font>
      <b/>
      <sz val="10"/>
      <name val="Geneva"/>
      <family val="2"/>
    </font>
    <font>
      <sz val="10"/>
      <name val="Geneva"/>
      <family val="2"/>
    </font>
    <font>
      <b/>
      <sz val="10"/>
      <name val="Geneva"/>
      <family val="2"/>
    </font>
    <font>
      <sz val="8"/>
      <name val="Geneva"/>
      <family val="2"/>
    </font>
    <font>
      <b/>
      <sz val="28"/>
      <color rgb="FF0070C0"/>
      <name val="Geneva"/>
      <family val="2"/>
    </font>
    <font>
      <sz val="28"/>
      <name val="Geneva"/>
      <family val="2"/>
    </font>
    <font>
      <b/>
      <sz val="11"/>
      <color theme="1"/>
      <name val="Calibri"/>
      <family val="2"/>
      <scheme val="minor"/>
    </font>
    <font>
      <sz val="10"/>
      <color theme="1"/>
      <name val="Geneva"/>
      <family val="2"/>
    </font>
    <font>
      <b/>
      <sz val="12"/>
      <name val="Geneva"/>
      <family val="2"/>
    </font>
    <font>
      <b/>
      <sz val="12"/>
      <color theme="1"/>
      <name val="Geneva"/>
      <family val="2"/>
    </font>
    <font>
      <b/>
      <sz val="18"/>
      <name val="Geneva"/>
      <family val="2"/>
    </font>
    <font>
      <b/>
      <sz val="11"/>
      <name val="Arial"/>
      <family val="2"/>
    </font>
    <font>
      <sz val="11"/>
      <name val="Arial"/>
      <family val="2"/>
    </font>
    <font>
      <b/>
      <u/>
      <sz val="11"/>
      <name val="Arial"/>
      <family val="2"/>
    </font>
    <font>
      <b/>
      <sz val="10"/>
      <color rgb="FFFFFDE2"/>
      <name val="Geneva"/>
      <family val="2"/>
    </font>
    <font>
      <sz val="10"/>
      <color rgb="FFFFFDE2"/>
      <name val="Geneva"/>
      <family val="2"/>
    </font>
    <font>
      <b/>
      <sz val="11"/>
      <name val="Geneva"/>
      <family val="2"/>
    </font>
    <font>
      <b/>
      <sz val="10"/>
      <color theme="1"/>
      <name val="Geneva"/>
      <family val="2"/>
    </font>
    <font>
      <b/>
      <sz val="28"/>
      <color theme="1"/>
      <name val="Geneva"/>
      <family val="2"/>
    </font>
    <font>
      <b/>
      <sz val="20"/>
      <color theme="1"/>
      <name val="Geneva"/>
      <family val="2"/>
    </font>
    <font>
      <sz val="10"/>
      <color rgb="FFF5F4FA"/>
      <name val="Geneva"/>
      <family val="2"/>
    </font>
    <font>
      <b/>
      <sz val="10"/>
      <color rgb="FF000000"/>
      <name val="Geneva"/>
      <family val="2"/>
    </font>
    <font>
      <sz val="9"/>
      <color theme="1"/>
      <name val="Geneva"/>
      <family val="2"/>
    </font>
    <font>
      <sz val="12"/>
      <name val="Calibri"/>
      <family val="2"/>
    </font>
    <font>
      <sz val="18"/>
      <name val="Geneva"/>
      <family val="2"/>
    </font>
    <font>
      <sz val="11"/>
      <color theme="1"/>
      <name val="Calibri"/>
      <family val="2"/>
      <scheme val="minor"/>
    </font>
    <font>
      <sz val="10"/>
      <color rgb="FFFF0000"/>
      <name val="Geneva"/>
      <family val="2"/>
    </font>
    <font>
      <b/>
      <sz val="12"/>
      <name val="Times New Roman"/>
      <family val="1"/>
    </font>
    <font>
      <sz val="10"/>
      <name val="Times New Roman"/>
      <family val="1"/>
    </font>
    <font>
      <sz val="8"/>
      <name val="Times New Roman"/>
      <family val="1"/>
    </font>
    <font>
      <b/>
      <sz val="8"/>
      <name val="Times New Roman"/>
      <family val="1"/>
    </font>
    <font>
      <b/>
      <i/>
      <sz val="8"/>
      <name val="Times New Roman"/>
      <family val="1"/>
    </font>
    <font>
      <sz val="10"/>
      <color theme="0" tint="-4.9989318521683403E-2"/>
      <name val="Geneva"/>
      <family val="2"/>
    </font>
    <font>
      <b/>
      <sz val="12"/>
      <color theme="1"/>
      <name val="Calibri"/>
      <family val="2"/>
      <scheme val="minor"/>
    </font>
    <font>
      <sz val="12"/>
      <name val="Calibri"/>
      <family val="2"/>
      <scheme val="minor"/>
    </font>
    <font>
      <b/>
      <sz val="12"/>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000000"/>
      <name val="Calibri"/>
      <family val="2"/>
      <scheme val="minor"/>
    </font>
    <font>
      <b/>
      <sz val="14"/>
      <name val="Calibri"/>
      <family val="2"/>
      <scheme val="minor"/>
    </font>
    <font>
      <sz val="14"/>
      <name val="Calibri"/>
      <family val="2"/>
      <scheme val="minor"/>
    </font>
    <font>
      <b/>
      <sz val="10"/>
      <color theme="1"/>
      <name val="Calibri"/>
      <family val="2"/>
      <scheme val="minor"/>
    </font>
    <font>
      <sz val="10"/>
      <color theme="1"/>
      <name val="Calibr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rgb="FFFFFDE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indexed="9"/>
        <bgColor indexed="12"/>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tint="0.79998168889431442"/>
        <bgColor indexed="8"/>
      </patternFill>
    </fill>
    <fill>
      <patternFill patternType="solid">
        <fgColor rgb="FFF5F4FA"/>
        <bgColor indexed="64"/>
      </patternFill>
    </fill>
    <fill>
      <patternFill patternType="solid">
        <fgColor rgb="FFF2F2F2"/>
        <bgColor rgb="FF000000"/>
      </patternFill>
    </fill>
    <fill>
      <patternFill patternType="solid">
        <fgColor theme="7" tint="0.79998168889431442"/>
        <bgColor indexed="64"/>
      </patternFill>
    </fill>
    <fill>
      <patternFill patternType="solid">
        <fgColor theme="2"/>
        <bgColor indexed="64"/>
      </patternFill>
    </fill>
    <fill>
      <patternFill patternType="solid">
        <fgColor theme="5" tint="0.59999389629810485"/>
        <bgColor indexed="64"/>
      </patternFill>
    </fill>
  </fills>
  <borders count="86">
    <border>
      <left/>
      <right/>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top style="thin">
        <color indexed="64"/>
      </top>
      <bottom/>
      <diagonal/>
    </border>
    <border>
      <left style="thick">
        <color indexed="10"/>
      </left>
      <right style="thick">
        <color indexed="10"/>
      </right>
      <top style="thick">
        <color indexed="10"/>
      </top>
      <bottom style="thick">
        <color indexed="10"/>
      </bottom>
      <diagonal/>
    </border>
    <border>
      <left style="thick">
        <color indexed="10"/>
      </left>
      <right style="thick">
        <color indexed="10"/>
      </right>
      <top style="thick">
        <color indexed="10"/>
      </top>
      <bottom/>
      <diagonal/>
    </border>
    <border>
      <left style="thick">
        <color indexed="10"/>
      </left>
      <right style="thick">
        <color indexed="10"/>
      </right>
      <top/>
      <bottom/>
      <diagonal/>
    </border>
    <border>
      <left style="thick">
        <color indexed="10"/>
      </left>
      <right style="thick">
        <color indexed="10"/>
      </right>
      <top/>
      <bottom style="thick">
        <color indexed="10"/>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diagonal/>
    </border>
    <border>
      <left/>
      <right style="thin">
        <color indexed="10"/>
      </right>
      <top/>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style="thin">
        <color indexed="64"/>
      </left>
      <right style="thin">
        <color indexed="64"/>
      </right>
      <top style="thin">
        <color indexed="64"/>
      </top>
      <bottom style="thin">
        <color indexed="64"/>
      </bottom>
      <diagonal/>
    </border>
    <border>
      <left style="thin">
        <color indexed="10"/>
      </left>
      <right style="thin">
        <color indexed="10"/>
      </right>
      <top/>
      <bottom style="thin">
        <color indexed="10"/>
      </bottom>
      <diagonal/>
    </border>
    <border>
      <left style="thin">
        <color indexed="10"/>
      </left>
      <right style="thin">
        <color indexed="10"/>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9" tint="0.79998168889431442"/>
      </left>
      <right/>
      <top style="thin">
        <color theme="9" tint="0.79998168889431442"/>
      </top>
      <bottom/>
      <diagonal/>
    </border>
    <border>
      <left/>
      <right/>
      <top style="thin">
        <color theme="9" tint="0.79998168889431442"/>
      </top>
      <bottom/>
      <diagonal/>
    </border>
    <border>
      <left/>
      <right style="thin">
        <color theme="9" tint="0.79998168889431442"/>
      </right>
      <top style="thin">
        <color theme="9" tint="0.79998168889431442"/>
      </top>
      <bottom/>
      <diagonal/>
    </border>
    <border>
      <left style="thin">
        <color theme="9" tint="0.79998168889431442"/>
      </left>
      <right/>
      <top/>
      <bottom/>
      <diagonal/>
    </border>
    <border>
      <left/>
      <right style="thin">
        <color theme="9" tint="0.79998168889431442"/>
      </right>
      <top/>
      <bottom/>
      <diagonal/>
    </border>
    <border>
      <left/>
      <right/>
      <top/>
      <bottom style="thin">
        <color theme="9" tint="0.79998168889431442"/>
      </bottom>
      <diagonal/>
    </border>
    <border>
      <left/>
      <right style="thin">
        <color theme="9" tint="0.79998168889431442"/>
      </right>
      <top/>
      <bottom style="thin">
        <color theme="9" tint="0.7999816888943144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thin">
        <color rgb="FFFF0000"/>
      </left>
      <right style="thin">
        <color rgb="FFFF0000"/>
      </right>
      <top style="thin">
        <color rgb="FFFF0000"/>
      </top>
      <bottom style="thin">
        <color rgb="FFFF0000"/>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theme="1"/>
      </left>
      <right style="thin">
        <color theme="1"/>
      </right>
      <top style="thin">
        <color auto="1"/>
      </top>
      <bottom/>
      <diagonal/>
    </border>
    <border>
      <left style="thin">
        <color theme="1"/>
      </left>
      <right style="thin">
        <color theme="1"/>
      </right>
      <top/>
      <bottom style="thin">
        <color indexed="64"/>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style="thin">
        <color rgb="FF0070C0"/>
      </left>
      <right style="thin">
        <color rgb="FF0070C0"/>
      </right>
      <top style="thin">
        <color rgb="FF0070C0"/>
      </top>
      <bottom/>
      <diagonal/>
    </border>
    <border>
      <left style="thin">
        <color rgb="FF0070C0"/>
      </left>
      <right style="thin">
        <color rgb="FF0070C0"/>
      </right>
      <top/>
      <bottom style="thin">
        <color rgb="FF0070C0"/>
      </bottom>
      <diagonal/>
    </border>
    <border>
      <left style="thin">
        <color theme="9" tint="0.59999389629810485"/>
      </left>
      <right/>
      <top/>
      <bottom/>
      <diagonal/>
    </border>
    <border>
      <left/>
      <right style="thin">
        <color theme="9" tint="0.59999389629810485"/>
      </right>
      <top/>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right style="thin">
        <color theme="1"/>
      </right>
      <top/>
      <bottom/>
      <diagonal/>
    </border>
    <border>
      <left style="thin">
        <color theme="1"/>
      </left>
      <right/>
      <top/>
      <bottom/>
      <diagonal/>
    </border>
    <border>
      <left/>
      <right/>
      <top/>
      <bottom style="thin">
        <color theme="1"/>
      </bottom>
      <diagonal/>
    </border>
    <border>
      <left/>
      <right style="thin">
        <color theme="9" tint="0.79998168889431442"/>
      </right>
      <top/>
      <bottom style="thin">
        <color theme="1"/>
      </bottom>
      <diagonal/>
    </border>
    <border>
      <left style="thin">
        <color theme="9" tint="0.79998168889431442"/>
      </left>
      <right/>
      <top/>
      <bottom style="thin">
        <color theme="9" tint="0.79998168889431442"/>
      </bottom>
      <diagonal/>
    </border>
    <border>
      <left/>
      <right/>
      <top style="thin">
        <color indexed="64"/>
      </top>
      <bottom/>
      <diagonal/>
    </border>
    <border>
      <left/>
      <right style="thin">
        <color theme="9" tint="0.79998168889431442"/>
      </right>
      <top style="thin">
        <color indexed="64"/>
      </top>
      <bottom/>
      <diagonal/>
    </border>
    <border>
      <left style="thin">
        <color theme="9" tint="0.59999389629810485"/>
      </left>
      <right/>
      <top/>
      <bottom style="thin">
        <color theme="9" tint="0.79998168889431442"/>
      </bottom>
      <diagonal/>
    </border>
    <border>
      <left/>
      <right style="thin">
        <color theme="9" tint="0.59999389629810485"/>
      </right>
      <top/>
      <bottom style="thin">
        <color theme="9" tint="0.79998168889431442"/>
      </bottom>
      <diagonal/>
    </border>
    <border>
      <left style="thin">
        <color theme="5" tint="0.79998168889431442"/>
      </left>
      <right/>
      <top/>
      <bottom/>
      <diagonal/>
    </border>
    <border>
      <left/>
      <right style="thin">
        <color theme="5" tint="0.79998168889431442"/>
      </right>
      <top style="thin">
        <color indexed="64"/>
      </top>
      <bottom/>
      <diagonal/>
    </border>
    <border>
      <left style="thin">
        <color theme="5" tint="0.79998168889431442"/>
      </left>
      <right style="thin">
        <color theme="9" tint="0.79998168889431442"/>
      </right>
      <top/>
      <bottom/>
      <diagonal/>
    </border>
    <border>
      <left style="thin">
        <color theme="5" tint="0.79998168889431442"/>
      </left>
      <right/>
      <top style="thin">
        <color theme="5" tint="0.79998168889431442"/>
      </top>
      <bottom/>
      <diagonal/>
    </border>
    <border>
      <left/>
      <right style="thin">
        <color theme="5" tint="0.79998168889431442"/>
      </right>
      <top/>
      <bottom/>
      <diagonal/>
    </border>
    <border>
      <left/>
      <right style="thin">
        <color theme="5" tint="0.79998168889431442"/>
      </right>
      <top style="thin">
        <color theme="9" tint="0.79998168889431442"/>
      </top>
      <bottom style="thin">
        <color theme="9" tint="0.79998168889431442"/>
      </bottom>
      <diagonal/>
    </border>
    <border>
      <left style="thin">
        <color theme="5" tint="0.79998168889431442"/>
      </left>
      <right/>
      <top style="thin">
        <color theme="9" tint="0.79998168889431442"/>
      </top>
      <bottom/>
      <diagonal/>
    </border>
    <border>
      <left style="medium">
        <color theme="1"/>
      </left>
      <right style="thin">
        <color theme="5" tint="0.79998168889431442"/>
      </right>
      <top/>
      <bottom/>
      <diagonal/>
    </border>
    <border>
      <left style="thin">
        <color theme="5" tint="0.79998168889431442"/>
      </left>
      <right/>
      <top/>
      <bottom style="thin">
        <color indexed="64"/>
      </bottom>
      <diagonal/>
    </border>
    <border>
      <left style="thin">
        <color theme="5" tint="0.79998168889431442"/>
      </left>
      <right/>
      <top style="thin">
        <color indexed="64"/>
      </top>
      <bottom style="thin">
        <color indexed="64"/>
      </bottom>
      <diagonal/>
    </border>
    <border>
      <left/>
      <right style="thin">
        <color theme="5" tint="0.79998168889431442"/>
      </right>
      <top style="thin">
        <color theme="5" tint="0.79998168889431442"/>
      </top>
      <bottom/>
      <diagonal/>
    </border>
    <border>
      <left style="thin">
        <color theme="5" tint="0.79998168889431442"/>
      </left>
      <right/>
      <top/>
      <bottom style="thin">
        <color theme="5" tint="0.79998168889431442"/>
      </bottom>
      <diagonal/>
    </border>
    <border>
      <left/>
      <right style="thin">
        <color theme="5" tint="0.79998168889431442"/>
      </right>
      <top/>
      <bottom style="thin">
        <color theme="5" tint="0.79998168889431442"/>
      </bottom>
      <diagonal/>
    </border>
  </borders>
  <cellStyleXfs count="1">
    <xf numFmtId="0" fontId="0" fillId="0" borderId="0"/>
  </cellStyleXfs>
  <cellXfs count="480">
    <xf numFmtId="0" fontId="0" fillId="0" borderId="0" xfId="0"/>
    <xf numFmtId="0" fontId="2" fillId="0" borderId="0" xfId="0" applyFont="1"/>
    <xf numFmtId="0" fontId="0" fillId="0" borderId="0" xfId="0" applyAlignment="1">
      <alignment horizontal="left"/>
    </xf>
    <xf numFmtId="0" fontId="0" fillId="0" borderId="0" xfId="0" applyAlignment="1">
      <alignment horizontal="right"/>
    </xf>
    <xf numFmtId="0" fontId="0" fillId="0" borderId="0" xfId="0" applyAlignment="1">
      <alignment horizontal="center"/>
    </xf>
    <xf numFmtId="0" fontId="0" fillId="3" borderId="0" xfId="0" applyFill="1"/>
    <xf numFmtId="0" fontId="0" fillId="4" borderId="0" xfId="0" applyFill="1"/>
    <xf numFmtId="0" fontId="0" fillId="4" borderId="0" xfId="0" applyFill="1" applyAlignment="1">
      <alignment horizontal="center"/>
    </xf>
    <xf numFmtId="0" fontId="1" fillId="4" borderId="0" xfId="0" applyFont="1" applyFill="1"/>
    <xf numFmtId="0" fontId="8" fillId="0" borderId="0" xfId="0" applyFont="1" applyFill="1"/>
    <xf numFmtId="0" fontId="0" fillId="0" borderId="0" xfId="0"/>
    <xf numFmtId="0" fontId="0" fillId="0" borderId="0" xfId="0"/>
    <xf numFmtId="0" fontId="0" fillId="0" borderId="20" xfId="0" applyBorder="1" applyAlignment="1">
      <alignment horizontal="center"/>
    </xf>
    <xf numFmtId="0" fontId="0" fillId="8" borderId="0" xfId="0" applyFill="1"/>
    <xf numFmtId="0" fontId="0" fillId="8" borderId="0" xfId="0" applyFill="1" applyAlignment="1">
      <alignment horizontal="center"/>
    </xf>
    <xf numFmtId="166" fontId="0" fillId="0" borderId="22" xfId="0" applyNumberFormat="1" applyBorder="1" applyAlignment="1">
      <alignment horizontal="center"/>
    </xf>
    <xf numFmtId="166" fontId="0" fillId="0" borderId="23" xfId="0" applyNumberFormat="1" applyBorder="1" applyAlignment="1">
      <alignment horizontal="center"/>
    </xf>
    <xf numFmtId="166" fontId="0" fillId="0" borderId="24" xfId="0" applyNumberFormat="1" applyBorder="1" applyAlignment="1">
      <alignment horizontal="center"/>
    </xf>
    <xf numFmtId="166" fontId="0" fillId="0" borderId="25" xfId="0" applyNumberFormat="1" applyBorder="1" applyAlignment="1">
      <alignment horizontal="center"/>
    </xf>
    <xf numFmtId="166" fontId="0" fillId="0" borderId="0" xfId="0" applyNumberFormat="1" applyAlignment="1">
      <alignment horizontal="center"/>
    </xf>
    <xf numFmtId="166" fontId="0" fillId="0" borderId="26" xfId="0" applyNumberFormat="1" applyBorder="1" applyAlignment="1">
      <alignment horizontal="center"/>
    </xf>
    <xf numFmtId="166" fontId="0" fillId="0" borderId="27" xfId="0" applyNumberFormat="1" applyBorder="1" applyAlignment="1">
      <alignment horizontal="center"/>
    </xf>
    <xf numFmtId="166" fontId="0" fillId="0" borderId="28" xfId="0" applyNumberFormat="1" applyBorder="1" applyAlignment="1">
      <alignment horizontal="center"/>
    </xf>
    <xf numFmtId="166" fontId="0" fillId="0" borderId="29" xfId="0" applyNumberFormat="1" applyBorder="1" applyAlignment="1">
      <alignment horizontal="center"/>
    </xf>
    <xf numFmtId="2" fontId="0" fillId="0" borderId="22" xfId="0" applyNumberFormat="1" applyBorder="1" applyAlignment="1">
      <alignment horizontal="center"/>
    </xf>
    <xf numFmtId="2" fontId="0" fillId="0" borderId="23" xfId="0" applyNumberFormat="1" applyBorder="1" applyAlignment="1">
      <alignment horizontal="center"/>
    </xf>
    <xf numFmtId="2" fontId="0" fillId="0" borderId="24" xfId="0" applyNumberFormat="1" applyBorder="1" applyAlignment="1">
      <alignment horizontal="center"/>
    </xf>
    <xf numFmtId="2" fontId="0" fillId="0" borderId="25" xfId="0" applyNumberFormat="1" applyBorder="1" applyAlignment="1">
      <alignment horizontal="center"/>
    </xf>
    <xf numFmtId="2" fontId="0" fillId="0" borderId="0" xfId="0" applyNumberFormat="1" applyAlignment="1">
      <alignment horizontal="center"/>
    </xf>
    <xf numFmtId="2" fontId="0" fillId="0" borderId="26" xfId="0" applyNumberFormat="1" applyBorder="1" applyAlignment="1">
      <alignment horizontal="center"/>
    </xf>
    <xf numFmtId="2" fontId="0" fillId="0" borderId="27" xfId="0" applyNumberFormat="1" applyBorder="1" applyAlignment="1">
      <alignment horizontal="center"/>
    </xf>
    <xf numFmtId="2" fontId="0" fillId="0" borderId="28" xfId="0" applyNumberFormat="1" applyBorder="1" applyAlignment="1">
      <alignment horizontal="center"/>
    </xf>
    <xf numFmtId="2" fontId="0" fillId="0" borderId="29" xfId="0" applyNumberFormat="1" applyBorder="1" applyAlignment="1">
      <alignment horizontal="center"/>
    </xf>
    <xf numFmtId="0" fontId="0" fillId="4" borderId="11" xfId="0" applyFill="1" applyBorder="1" applyAlignment="1" applyProtection="1">
      <alignment horizontal="center"/>
      <protection locked="0"/>
    </xf>
    <xf numFmtId="0" fontId="10" fillId="4" borderId="0" xfId="0" applyFont="1" applyFill="1"/>
    <xf numFmtId="0" fontId="0" fillId="4" borderId="17" xfId="0" applyFill="1" applyBorder="1" applyAlignment="1">
      <alignment horizontal="center"/>
    </xf>
    <xf numFmtId="0" fontId="0" fillId="4" borderId="18" xfId="0" applyFill="1" applyBorder="1" applyAlignment="1">
      <alignment horizontal="center"/>
    </xf>
    <xf numFmtId="0" fontId="0" fillId="4" borderId="19" xfId="0" applyFill="1" applyBorder="1" applyAlignment="1">
      <alignment horizontal="center"/>
    </xf>
    <xf numFmtId="0" fontId="0" fillId="9" borderId="0" xfId="0" applyFill="1"/>
    <xf numFmtId="166" fontId="0" fillId="9" borderId="20" xfId="0" applyNumberFormat="1" applyFill="1" applyBorder="1"/>
    <xf numFmtId="166" fontId="0" fillId="9" borderId="21" xfId="0" applyNumberFormat="1" applyFill="1" applyBorder="1"/>
    <xf numFmtId="0" fontId="0" fillId="10" borderId="0" xfId="0" applyFill="1"/>
    <xf numFmtId="166" fontId="0" fillId="10" borderId="0" xfId="0" applyNumberFormat="1" applyFill="1"/>
    <xf numFmtId="166" fontId="0" fillId="10" borderId="21" xfId="0" applyNumberFormat="1" applyFill="1" applyBorder="1"/>
    <xf numFmtId="0" fontId="0" fillId="4" borderId="12" xfId="0" applyFill="1" applyBorder="1" applyAlignment="1" applyProtection="1">
      <alignment horizontal="center"/>
      <protection locked="0"/>
    </xf>
    <xf numFmtId="0" fontId="0" fillId="0" borderId="31" xfId="0" applyBorder="1" applyAlignment="1">
      <alignment horizontal="center"/>
    </xf>
    <xf numFmtId="166" fontId="0" fillId="9" borderId="31" xfId="0" applyNumberFormat="1" applyFill="1" applyBorder="1"/>
    <xf numFmtId="166" fontId="0" fillId="9" borderId="32" xfId="0" applyNumberFormat="1" applyFill="1" applyBorder="1"/>
    <xf numFmtId="0" fontId="1" fillId="4" borderId="30" xfId="0" applyFont="1" applyFill="1" applyBorder="1" applyAlignment="1">
      <alignment horizontal="center"/>
    </xf>
    <xf numFmtId="0" fontId="1" fillId="0" borderId="30" xfId="0" applyFont="1" applyBorder="1" applyAlignment="1">
      <alignment horizontal="center"/>
    </xf>
    <xf numFmtId="0" fontId="1" fillId="9" borderId="30" xfId="0" applyFont="1" applyFill="1" applyBorder="1" applyAlignment="1">
      <alignment horizontal="center"/>
    </xf>
    <xf numFmtId="0" fontId="1" fillId="10" borderId="0" xfId="0" applyFont="1" applyFill="1"/>
    <xf numFmtId="0" fontId="10" fillId="11" borderId="0" xfId="0" applyFont="1" applyFill="1"/>
    <xf numFmtId="0" fontId="0" fillId="11" borderId="0" xfId="0" applyFill="1"/>
    <xf numFmtId="0" fontId="0" fillId="11" borderId="0" xfId="0" applyFill="1" applyAlignment="1">
      <alignment horizontal="right"/>
    </xf>
    <xf numFmtId="166" fontId="0" fillId="11" borderId="17" xfId="0" applyNumberFormat="1" applyFill="1" applyBorder="1"/>
    <xf numFmtId="166" fontId="0" fillId="11" borderId="18" xfId="0" applyNumberFormat="1" applyFill="1" applyBorder="1"/>
    <xf numFmtId="166" fontId="0" fillId="11" borderId="19" xfId="0" applyNumberFormat="1" applyFill="1" applyBorder="1"/>
    <xf numFmtId="0" fontId="0" fillId="11" borderId="0" xfId="0" applyFill="1" applyAlignment="1">
      <alignment horizontal="left"/>
    </xf>
    <xf numFmtId="166" fontId="0" fillId="11" borderId="0" xfId="0" applyNumberFormat="1" applyFill="1"/>
    <xf numFmtId="2" fontId="0" fillId="11" borderId="0" xfId="0" applyNumberFormat="1" applyFill="1"/>
    <xf numFmtId="0" fontId="10" fillId="3" borderId="0" xfId="0" applyFont="1" applyFill="1"/>
    <xf numFmtId="166" fontId="0" fillId="3" borderId="0" xfId="0" applyNumberFormat="1" applyFill="1"/>
    <xf numFmtId="0" fontId="0" fillId="3" borderId="0" xfId="0" applyFill="1" applyAlignment="1">
      <alignment horizontal="right"/>
    </xf>
    <xf numFmtId="0" fontId="0" fillId="3" borderId="0" xfId="0" applyFill="1" applyAlignment="1">
      <alignment horizontal="left"/>
    </xf>
    <xf numFmtId="2" fontId="0" fillId="3" borderId="0" xfId="0" applyNumberFormat="1" applyFill="1"/>
    <xf numFmtId="0" fontId="1" fillId="11" borderId="0" xfId="0" applyFont="1" applyFill="1"/>
    <xf numFmtId="0" fontId="1" fillId="3" borderId="0" xfId="0" applyFont="1" applyFill="1"/>
    <xf numFmtId="2" fontId="0" fillId="12" borderId="16" xfId="0" applyNumberFormat="1" applyFill="1" applyBorder="1"/>
    <xf numFmtId="166" fontId="0" fillId="10" borderId="32" xfId="0" applyNumberFormat="1" applyFill="1" applyBorder="1"/>
    <xf numFmtId="0" fontId="0" fillId="10" borderId="30" xfId="0" applyFill="1" applyBorder="1" applyAlignment="1">
      <alignment horizontal="center"/>
    </xf>
    <xf numFmtId="0" fontId="0" fillId="0" borderId="21" xfId="0" applyBorder="1" applyAlignment="1">
      <alignment horizontal="center"/>
    </xf>
    <xf numFmtId="0" fontId="0" fillId="4" borderId="30" xfId="0" applyFill="1" applyBorder="1" applyAlignment="1" applyProtection="1">
      <alignment horizontal="center"/>
      <protection locked="0"/>
    </xf>
    <xf numFmtId="0" fontId="0" fillId="0" borderId="30" xfId="0" applyBorder="1" applyAlignment="1">
      <alignment horizontal="center"/>
    </xf>
    <xf numFmtId="166" fontId="0" fillId="9" borderId="30" xfId="0" applyNumberFormat="1" applyFill="1" applyBorder="1"/>
    <xf numFmtId="166" fontId="0" fillId="10" borderId="30" xfId="0" applyNumberFormat="1" applyFill="1" applyBorder="1"/>
    <xf numFmtId="0" fontId="0" fillId="0" borderId="0" xfId="0" applyBorder="1"/>
    <xf numFmtId="0" fontId="16" fillId="4" borderId="0" xfId="0" applyFont="1" applyFill="1"/>
    <xf numFmtId="0" fontId="0" fillId="13" borderId="0" xfId="0" applyFill="1"/>
    <xf numFmtId="0" fontId="12" fillId="13" borderId="0" xfId="0" applyFont="1" applyFill="1" applyAlignment="1">
      <alignment vertical="center" wrapText="1"/>
    </xf>
    <xf numFmtId="0" fontId="12" fillId="13" borderId="0" xfId="0" applyFont="1" applyFill="1" applyAlignment="1">
      <alignment vertical="center"/>
    </xf>
    <xf numFmtId="0" fontId="13" fillId="13" borderId="0" xfId="0" applyFont="1" applyFill="1" applyAlignment="1">
      <alignment vertical="center"/>
    </xf>
    <xf numFmtId="0" fontId="13" fillId="13" borderId="0" xfId="0" applyFont="1" applyFill="1" applyAlignment="1">
      <alignment horizontal="left" vertical="center" wrapText="1"/>
    </xf>
    <xf numFmtId="0" fontId="13" fillId="13" borderId="0" xfId="0" applyFont="1" applyFill="1"/>
    <xf numFmtId="0" fontId="2" fillId="13" borderId="0" xfId="0" applyFont="1" applyFill="1"/>
    <xf numFmtId="0" fontId="0" fillId="13" borderId="0" xfId="0" applyFill="1" applyBorder="1"/>
    <xf numFmtId="0" fontId="13" fillId="13" borderId="0" xfId="0" applyFont="1" applyFill="1" applyBorder="1"/>
    <xf numFmtId="0" fontId="2" fillId="13" borderId="0" xfId="0" applyFont="1" applyFill="1" applyBorder="1"/>
    <xf numFmtId="0" fontId="13" fillId="13" borderId="0" xfId="0" applyFont="1" applyFill="1" applyAlignment="1">
      <alignment wrapText="1"/>
    </xf>
    <xf numFmtId="0" fontId="2" fillId="13" borderId="0" xfId="0" applyFont="1" applyFill="1" applyAlignment="1">
      <alignment wrapText="1"/>
    </xf>
    <xf numFmtId="0" fontId="0" fillId="0" borderId="0" xfId="0"/>
    <xf numFmtId="0" fontId="0" fillId="13" borderId="0" xfId="0" applyFill="1" applyAlignment="1">
      <alignment horizontal="right"/>
    </xf>
    <xf numFmtId="0" fontId="2" fillId="13" borderId="0" xfId="0" applyFont="1" applyFill="1" applyAlignment="1">
      <alignment horizontal="right"/>
    </xf>
    <xf numFmtId="0" fontId="2" fillId="13" borderId="0" xfId="0" applyFont="1" applyFill="1" applyBorder="1" applyAlignment="1">
      <alignment horizontal="right"/>
    </xf>
    <xf numFmtId="0" fontId="0" fillId="0" borderId="0" xfId="0" applyAlignment="1">
      <alignment wrapText="1"/>
    </xf>
    <xf numFmtId="0" fontId="16" fillId="4" borderId="0" xfId="0" applyFont="1" applyFill="1" applyProtection="1"/>
    <xf numFmtId="0" fontId="0" fillId="4" borderId="0" xfId="0" applyFill="1" applyProtection="1"/>
    <xf numFmtId="0" fontId="0" fillId="4" borderId="0" xfId="0" applyFill="1" applyAlignment="1" applyProtection="1"/>
    <xf numFmtId="0" fontId="15" fillId="4" borderId="0" xfId="0" applyFont="1" applyFill="1" applyBorder="1" applyAlignment="1" applyProtection="1">
      <alignment horizontal="center"/>
    </xf>
    <xf numFmtId="0" fontId="7" fillId="6" borderId="10" xfId="0" applyFont="1" applyFill="1" applyBorder="1" applyAlignment="1" applyProtection="1">
      <alignment horizontal="left"/>
    </xf>
    <xf numFmtId="0" fontId="15" fillId="4" borderId="0" xfId="0" applyFont="1" applyFill="1" applyAlignment="1" applyProtection="1">
      <alignment horizontal="center"/>
    </xf>
    <xf numFmtId="0" fontId="3" fillId="2" borderId="10" xfId="0" applyFont="1" applyFill="1" applyBorder="1" applyProtection="1"/>
    <xf numFmtId="0" fontId="0" fillId="2" borderId="10" xfId="0" applyFill="1" applyBorder="1" applyProtection="1"/>
    <xf numFmtId="0" fontId="2" fillId="5" borderId="0" xfId="0" applyFont="1" applyFill="1" applyProtection="1"/>
    <xf numFmtId="0" fontId="0" fillId="5" borderId="0" xfId="0" applyFill="1" applyProtection="1"/>
    <xf numFmtId="0" fontId="2" fillId="5" borderId="0" xfId="0" applyFont="1" applyFill="1" applyAlignment="1" applyProtection="1">
      <alignment horizontal="left"/>
    </xf>
    <xf numFmtId="0" fontId="0" fillId="5" borderId="0" xfId="0" applyFill="1" applyAlignment="1" applyProtection="1">
      <alignment horizontal="left"/>
    </xf>
    <xf numFmtId="0" fontId="0" fillId="2" borderId="10" xfId="0" applyFill="1" applyBorder="1" applyAlignment="1" applyProtection="1">
      <alignment horizontal="left"/>
    </xf>
    <xf numFmtId="0" fontId="1" fillId="4" borderId="0" xfId="0" applyFont="1" applyFill="1" applyAlignment="1" applyProtection="1">
      <alignment horizontal="center" wrapText="1"/>
    </xf>
    <xf numFmtId="0" fontId="2" fillId="4" borderId="0" xfId="0" quotePrefix="1" applyFont="1" applyFill="1" applyProtection="1"/>
    <xf numFmtId="0" fontId="8" fillId="4" borderId="0" xfId="0" applyFont="1" applyFill="1" applyAlignment="1" applyProtection="1">
      <alignment horizontal="center"/>
    </xf>
    <xf numFmtId="0" fontId="8" fillId="4" borderId="0" xfId="0" applyFont="1" applyFill="1" applyProtection="1"/>
    <xf numFmtId="0" fontId="8" fillId="0" borderId="0" xfId="0" applyFont="1"/>
    <xf numFmtId="0" fontId="0" fillId="0" borderId="0" xfId="0" applyFill="1" applyAlignment="1" applyProtection="1"/>
    <xf numFmtId="0" fontId="0" fillId="0" borderId="0" xfId="0" applyFill="1" applyAlignment="1" applyProtection="1">
      <alignment horizontal="center" vertical="center"/>
    </xf>
    <xf numFmtId="0" fontId="0" fillId="0" borderId="0" xfId="0" applyFill="1" applyProtection="1"/>
    <xf numFmtId="0" fontId="0" fillId="0" borderId="0" xfId="0" applyProtection="1"/>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0" fontId="3" fillId="0" borderId="0" xfId="0" applyFont="1" applyFill="1" applyAlignment="1" applyProtection="1"/>
    <xf numFmtId="0" fontId="3" fillId="0" borderId="0" xfId="0" applyFont="1" applyFill="1" applyAlignment="1" applyProtection="1">
      <alignment vertical="top"/>
    </xf>
    <xf numFmtId="0" fontId="0" fillId="0" borderId="0" xfId="0" applyFill="1" applyAlignment="1" applyProtection="1">
      <alignment horizontal="center" vertical="top"/>
    </xf>
    <xf numFmtId="0" fontId="0" fillId="0" borderId="0" xfId="0" applyFill="1" applyAlignment="1" applyProtection="1">
      <alignment vertical="top"/>
    </xf>
    <xf numFmtId="0" fontId="0" fillId="0" borderId="0" xfId="0" applyAlignment="1" applyProtection="1">
      <alignment vertical="top"/>
    </xf>
    <xf numFmtId="0" fontId="1" fillId="2" borderId="15" xfId="0" applyFont="1" applyFill="1" applyBorder="1" applyProtection="1"/>
    <xf numFmtId="0" fontId="0" fillId="2" borderId="15" xfId="0" applyFill="1" applyBorder="1" applyProtection="1"/>
    <xf numFmtId="0" fontId="17" fillId="2" borderId="10" xfId="0" applyFont="1" applyFill="1" applyBorder="1" applyProtection="1"/>
    <xf numFmtId="0" fontId="0" fillId="5" borderId="0" xfId="0" applyFill="1" applyAlignment="1" applyProtection="1">
      <alignment horizontal="left" wrapText="1"/>
    </xf>
    <xf numFmtId="0" fontId="1" fillId="4" borderId="0" xfId="0" applyFont="1" applyFill="1" applyAlignment="1" applyProtection="1">
      <alignment vertical="top"/>
    </xf>
    <xf numFmtId="0" fontId="0" fillId="0" borderId="33" xfId="0" applyFill="1" applyBorder="1" applyProtection="1">
      <protection locked="0"/>
    </xf>
    <xf numFmtId="0" fontId="0" fillId="0" borderId="34" xfId="0" applyFill="1" applyBorder="1" applyProtection="1">
      <protection locked="0"/>
    </xf>
    <xf numFmtId="0" fontId="0" fillId="0" borderId="8" xfId="0" applyFill="1" applyBorder="1" applyProtection="1">
      <protection locked="0"/>
    </xf>
    <xf numFmtId="0" fontId="8" fillId="4" borderId="0" xfId="0" applyFont="1" applyFill="1" applyAlignment="1" applyProtection="1">
      <alignment horizontal="left"/>
    </xf>
    <xf numFmtId="0" fontId="9" fillId="4" borderId="0" xfId="0" applyFont="1" applyFill="1" applyAlignment="1" applyProtection="1">
      <alignment vertical="top"/>
    </xf>
    <xf numFmtId="2" fontId="2" fillId="5" borderId="0" xfId="0" applyNumberFormat="1" applyFont="1" applyFill="1" applyAlignment="1" applyProtection="1">
      <alignment horizontal="left"/>
    </xf>
    <xf numFmtId="0" fontId="2" fillId="5" borderId="0" xfId="0" applyFont="1" applyFill="1" applyAlignment="1" applyProtection="1">
      <alignment vertical="top"/>
    </xf>
    <xf numFmtId="0" fontId="8" fillId="4" borderId="0" xfId="0" applyFont="1" applyFill="1" applyAlignment="1" applyProtection="1">
      <alignment horizontal="right"/>
    </xf>
    <xf numFmtId="0" fontId="0" fillId="4" borderId="0" xfId="0" applyFill="1" applyAlignment="1">
      <alignment horizontal="right"/>
    </xf>
    <xf numFmtId="0" fontId="7" fillId="3" borderId="0" xfId="0" applyFont="1" applyFill="1" applyAlignment="1" applyProtection="1">
      <alignment horizontal="left"/>
    </xf>
    <xf numFmtId="0" fontId="1" fillId="4" borderId="0" xfId="0" applyFont="1" applyFill="1" applyAlignment="1" applyProtection="1">
      <alignment horizontal="center" vertical="center" wrapText="1"/>
    </xf>
    <xf numFmtId="0" fontId="1" fillId="4" borderId="0" xfId="0" applyFont="1" applyFill="1" applyAlignment="1" applyProtection="1">
      <alignment horizontal="center" vertical="center" wrapText="1"/>
    </xf>
    <xf numFmtId="0" fontId="0" fillId="0" borderId="13" xfId="0" applyFill="1" applyBorder="1" applyAlignment="1" applyProtection="1">
      <alignment horizontal="center" vertical="center"/>
      <protection locked="0"/>
    </xf>
    <xf numFmtId="0" fontId="0" fillId="4" borderId="0" xfId="0" applyFill="1" applyAlignment="1" applyProtection="1">
      <alignment vertical="center"/>
    </xf>
    <xf numFmtId="0" fontId="1" fillId="4" borderId="14" xfId="0" applyFont="1" applyFill="1" applyBorder="1" applyAlignment="1" applyProtection="1">
      <alignment horizontal="center" vertical="center"/>
    </xf>
    <xf numFmtId="0" fontId="2" fillId="0" borderId="13" xfId="0" applyFont="1" applyFill="1" applyBorder="1" applyAlignment="1" applyProtection="1">
      <alignment horizontal="center" vertical="center"/>
      <protection locked="0"/>
    </xf>
    <xf numFmtId="0" fontId="0" fillId="4" borderId="0" xfId="0" applyFill="1" applyAlignment="1" applyProtection="1">
      <alignment horizontal="center" vertical="center"/>
    </xf>
    <xf numFmtId="0" fontId="0" fillId="0" borderId="0" xfId="0" applyAlignment="1" applyProtection="1">
      <alignment vertical="center"/>
    </xf>
    <xf numFmtId="0" fontId="3" fillId="4" borderId="14" xfId="0" applyFont="1" applyFill="1" applyBorder="1" applyAlignment="1" applyProtection="1">
      <alignment horizontal="center" vertical="center"/>
    </xf>
    <xf numFmtId="0" fontId="0" fillId="0" borderId="0" xfId="0" applyAlignment="1" applyProtection="1">
      <alignment horizontal="center" vertical="center"/>
    </xf>
    <xf numFmtId="0" fontId="1" fillId="4" borderId="0" xfId="0" applyFont="1" applyFill="1" applyAlignment="1" applyProtection="1">
      <alignment horizontal="center" vertical="center" wrapText="1"/>
    </xf>
    <xf numFmtId="0" fontId="0" fillId="0" borderId="0" xfId="0"/>
    <xf numFmtId="0" fontId="2" fillId="4" borderId="0" xfId="0" applyFont="1" applyFill="1" applyAlignment="1" applyProtection="1"/>
    <xf numFmtId="0" fontId="8" fillId="5" borderId="0" xfId="0" applyFont="1" applyFill="1" applyAlignment="1" applyProtection="1">
      <alignment horizontal="left"/>
    </xf>
    <xf numFmtId="0" fontId="15" fillId="4" borderId="0" xfId="0" applyFont="1" applyFill="1" applyAlignment="1" applyProtection="1">
      <alignment horizontal="center" wrapText="1"/>
    </xf>
    <xf numFmtId="0" fontId="21" fillId="5" borderId="0" xfId="0" applyFont="1" applyFill="1" applyAlignment="1" applyProtection="1">
      <alignment horizontal="left"/>
    </xf>
    <xf numFmtId="0" fontId="0" fillId="0" borderId="0" xfId="0" applyAlignment="1">
      <alignment horizontal="left" wrapText="1"/>
    </xf>
    <xf numFmtId="0" fontId="2" fillId="0" borderId="0" xfId="0" quotePrefix="1" applyFont="1" applyAlignment="1">
      <alignment horizontal="left" wrapText="1"/>
    </xf>
    <xf numFmtId="0" fontId="8" fillId="0" borderId="0" xfId="0" applyFont="1" applyAlignment="1">
      <alignment wrapText="1"/>
    </xf>
    <xf numFmtId="0" fontId="8" fillId="0" borderId="0" xfId="0" applyFont="1" applyAlignment="1">
      <alignment horizontal="left"/>
    </xf>
    <xf numFmtId="0" fontId="8" fillId="4" borderId="0" xfId="0" applyFont="1" applyFill="1" applyAlignment="1" applyProtection="1"/>
    <xf numFmtId="0" fontId="8" fillId="4" borderId="0" xfId="0" applyFont="1" applyFill="1"/>
    <xf numFmtId="0" fontId="18" fillId="3" borderId="0" xfId="0" applyFont="1" applyFill="1" applyAlignment="1" applyProtection="1">
      <alignment horizontal="center"/>
    </xf>
    <xf numFmtId="0" fontId="18" fillId="4" borderId="0" xfId="0" applyFont="1" applyFill="1" applyAlignment="1" applyProtection="1">
      <alignment horizontal="center"/>
    </xf>
    <xf numFmtId="0" fontId="18" fillId="4" borderId="14" xfId="0" applyFont="1" applyFill="1" applyBorder="1" applyAlignment="1" applyProtection="1">
      <alignment horizontal="center"/>
    </xf>
    <xf numFmtId="0" fontId="18" fillId="4" borderId="0" xfId="0" applyFont="1" applyFill="1" applyBorder="1" applyAlignment="1" applyProtection="1">
      <alignment horizontal="center"/>
    </xf>
    <xf numFmtId="0" fontId="18" fillId="2" borderId="10" xfId="0" applyFont="1" applyFill="1" applyBorder="1" applyProtection="1"/>
    <xf numFmtId="0" fontId="8" fillId="2" borderId="10" xfId="0" applyFont="1" applyFill="1" applyBorder="1" applyProtection="1"/>
    <xf numFmtId="1" fontId="8" fillId="4" borderId="0" xfId="0" applyNumberFormat="1" applyFont="1" applyFill="1" applyAlignment="1" applyProtection="1"/>
    <xf numFmtId="164" fontId="8" fillId="4" borderId="0" xfId="0" applyNumberFormat="1" applyFont="1" applyFill="1" applyAlignment="1" applyProtection="1"/>
    <xf numFmtId="2" fontId="8" fillId="4" borderId="0" xfId="0" applyNumberFormat="1" applyFont="1" applyFill="1" applyAlignment="1" applyProtection="1"/>
    <xf numFmtId="0" fontId="8" fillId="5" borderId="0" xfId="0" applyFont="1" applyFill="1" applyProtection="1"/>
    <xf numFmtId="0" fontId="8" fillId="7" borderId="1" xfId="0" applyFont="1" applyFill="1" applyBorder="1" applyAlignment="1" applyProtection="1">
      <alignment horizontal="center"/>
    </xf>
    <xf numFmtId="0" fontId="8" fillId="2" borderId="10" xfId="0" applyFont="1" applyFill="1" applyBorder="1" applyAlignment="1" applyProtection="1">
      <alignment horizontal="left"/>
    </xf>
    <xf numFmtId="0" fontId="8" fillId="5" borderId="0" xfId="0" applyFont="1" applyFill="1" applyBorder="1" applyAlignment="1" applyProtection="1">
      <alignment horizontal="left" vertical="top" wrapText="1"/>
    </xf>
    <xf numFmtId="2" fontId="8" fillId="5" borderId="0" xfId="0" applyNumberFormat="1" applyFont="1" applyFill="1" applyAlignment="1" applyProtection="1">
      <alignment horizontal="left"/>
    </xf>
    <xf numFmtId="1" fontId="8" fillId="4" borderId="0" xfId="0" quotePrefix="1" applyNumberFormat="1" applyFont="1" applyFill="1" applyAlignment="1" applyProtection="1">
      <alignment horizontal="left" vertical="top"/>
    </xf>
    <xf numFmtId="0" fontId="7" fillId="3" borderId="35" xfId="0" applyFont="1" applyFill="1" applyBorder="1" applyAlignment="1" applyProtection="1">
      <alignment horizontal="left"/>
    </xf>
    <xf numFmtId="0" fontId="7" fillId="3" borderId="36" xfId="0" applyFont="1" applyFill="1" applyBorder="1" applyAlignment="1" applyProtection="1">
      <alignment horizontal="left"/>
    </xf>
    <xf numFmtId="0" fontId="7" fillId="3" borderId="37" xfId="0" applyFont="1" applyFill="1" applyBorder="1" applyAlignment="1" applyProtection="1">
      <alignment horizontal="left"/>
    </xf>
    <xf numFmtId="0" fontId="18" fillId="4" borderId="38" xfId="0" applyFont="1" applyFill="1" applyBorder="1" applyAlignment="1" applyProtection="1">
      <alignment horizontal="center" wrapText="1"/>
    </xf>
    <xf numFmtId="0" fontId="18" fillId="4" borderId="0" xfId="0" applyFont="1" applyFill="1" applyBorder="1" applyAlignment="1" applyProtection="1">
      <alignment horizontal="center" wrapText="1"/>
    </xf>
    <xf numFmtId="1" fontId="8" fillId="4" borderId="0" xfId="0" quotePrefix="1" applyNumberFormat="1" applyFont="1" applyFill="1" applyBorder="1" applyAlignment="1" applyProtection="1">
      <alignment horizontal="left" vertical="top"/>
    </xf>
    <xf numFmtId="1" fontId="8" fillId="4" borderId="39" xfId="0" quotePrefix="1" applyNumberFormat="1" applyFont="1" applyFill="1" applyBorder="1" applyAlignment="1" applyProtection="1">
      <alignment horizontal="left" vertical="top"/>
    </xf>
    <xf numFmtId="0" fontId="8" fillId="4" borderId="38" xfId="0" applyFont="1" applyFill="1" applyBorder="1" applyProtection="1"/>
    <xf numFmtId="0" fontId="8" fillId="4" borderId="0" xfId="0" applyFont="1" applyFill="1" applyBorder="1" applyProtection="1"/>
    <xf numFmtId="0" fontId="8" fillId="4" borderId="39" xfId="0" applyFont="1" applyFill="1" applyBorder="1" applyProtection="1"/>
    <xf numFmtId="0" fontId="8" fillId="4" borderId="0" xfId="0" applyFont="1" applyFill="1" applyBorder="1" applyAlignment="1" applyProtection="1">
      <alignment horizontal="center"/>
    </xf>
    <xf numFmtId="0" fontId="8" fillId="4" borderId="0" xfId="0" applyFont="1" applyFill="1" applyBorder="1" applyAlignment="1" applyProtection="1">
      <alignment horizontal="right"/>
    </xf>
    <xf numFmtId="2" fontId="8" fillId="0" borderId="0" xfId="0" applyNumberFormat="1" applyFont="1"/>
    <xf numFmtId="0" fontId="8" fillId="0" borderId="0" xfId="0" applyFont="1" applyAlignment="1">
      <alignment horizontal="right"/>
    </xf>
    <xf numFmtId="0" fontId="8" fillId="0" borderId="0" xfId="0" applyFont="1" applyAlignment="1">
      <alignment horizontal="center"/>
    </xf>
    <xf numFmtId="0" fontId="8" fillId="0" borderId="0" xfId="0" applyFont="1" applyAlignment="1"/>
    <xf numFmtId="0" fontId="8" fillId="0" borderId="0" xfId="0" applyNumberFormat="1" applyFont="1"/>
    <xf numFmtId="0" fontId="16" fillId="4" borderId="0" xfId="0" applyFont="1" applyFill="1" applyBorder="1" applyProtection="1"/>
    <xf numFmtId="0" fontId="8" fillId="5" borderId="0" xfId="0" applyFont="1" applyFill="1" applyBorder="1" applyAlignment="1" applyProtection="1">
      <alignment horizontal="left"/>
    </xf>
    <xf numFmtId="0" fontId="8" fillId="5" borderId="0" xfId="0" applyFont="1" applyFill="1" applyAlignment="1" applyProtection="1">
      <alignment horizontal="left" wrapText="1"/>
    </xf>
    <xf numFmtId="0" fontId="19" fillId="0" borderId="0" xfId="0" applyFont="1" applyFill="1" applyAlignment="1" applyProtection="1">
      <alignment horizontal="center" vertical="center"/>
    </xf>
    <xf numFmtId="0" fontId="18" fillId="0" borderId="0" xfId="0" applyFont="1" applyFill="1" applyAlignment="1" applyProtection="1"/>
    <xf numFmtId="0" fontId="18" fillId="0" borderId="0" xfId="0" applyFont="1" applyFill="1" applyAlignment="1" applyProtection="1">
      <alignment vertical="top"/>
    </xf>
    <xf numFmtId="0" fontId="8" fillId="0" borderId="0" xfId="0" applyFont="1" applyFill="1" applyProtection="1"/>
    <xf numFmtId="0" fontId="16" fillId="4" borderId="0" xfId="0" applyFont="1" applyFill="1" applyAlignment="1" applyProtection="1">
      <alignment horizontal="center"/>
    </xf>
    <xf numFmtId="0" fontId="2" fillId="0" borderId="0" xfId="0" applyFont="1" applyAlignment="1">
      <alignment horizontal="left" wrapText="1"/>
    </xf>
    <xf numFmtId="0" fontId="18" fillId="4" borderId="0" xfId="0" applyFont="1" applyFill="1" applyAlignment="1" applyProtection="1">
      <alignment horizontal="center" vertical="center"/>
    </xf>
    <xf numFmtId="0" fontId="20" fillId="0" borderId="42" xfId="0" applyFont="1" applyFill="1" applyBorder="1" applyAlignment="1" applyProtection="1">
      <alignment horizontal="left" vertical="center"/>
      <protection locked="0"/>
    </xf>
    <xf numFmtId="0" fontId="2" fillId="0" borderId="0" xfId="0" applyFont="1" applyAlignment="1">
      <alignment vertical="center"/>
    </xf>
    <xf numFmtId="0" fontId="24" fillId="0" borderId="0" xfId="0" applyFont="1"/>
    <xf numFmtId="0" fontId="1" fillId="0" borderId="0" xfId="0" applyFont="1" applyFill="1" applyAlignment="1" applyProtection="1">
      <alignment horizontal="center" wrapText="1"/>
    </xf>
    <xf numFmtId="166" fontId="8" fillId="4" borderId="0" xfId="0" applyNumberFormat="1" applyFont="1" applyFill="1" applyAlignment="1" applyProtection="1"/>
    <xf numFmtId="166" fontId="8" fillId="4" borderId="0" xfId="0" applyNumberFormat="1" applyFont="1" applyFill="1" applyProtection="1"/>
    <xf numFmtId="166" fontId="8" fillId="0" borderId="0" xfId="0" applyNumberFormat="1" applyFont="1"/>
    <xf numFmtId="166" fontId="8" fillId="0" borderId="0" xfId="0" applyNumberFormat="1" applyFont="1" applyAlignment="1"/>
    <xf numFmtId="0" fontId="8" fillId="4" borderId="0" xfId="0" applyFont="1" applyFill="1" applyAlignment="1" applyProtection="1">
      <alignment horizontal="right" wrapText="1"/>
    </xf>
    <xf numFmtId="166" fontId="8" fillId="4" borderId="0" xfId="0" applyNumberFormat="1" applyFont="1" applyFill="1" applyAlignment="1" applyProtection="1">
      <alignment horizontal="right" wrapText="1"/>
    </xf>
    <xf numFmtId="0" fontId="8" fillId="15" borderId="0" xfId="0" applyFont="1" applyFill="1" applyAlignment="1" applyProtection="1">
      <alignment horizontal="center"/>
    </xf>
    <xf numFmtId="0" fontId="18" fillId="15" borderId="0" xfId="0" applyFont="1" applyFill="1" applyAlignment="1" applyProtection="1">
      <alignment horizontal="left"/>
    </xf>
    <xf numFmtId="166" fontId="18" fillId="15" borderId="0" xfId="0" applyNumberFormat="1" applyFont="1" applyFill="1" applyAlignment="1" applyProtection="1">
      <alignment horizontal="center"/>
    </xf>
    <xf numFmtId="0" fontId="18" fillId="15" borderId="0" xfId="0" applyFont="1" applyFill="1" applyAlignment="1" applyProtection="1">
      <alignment horizontal="center"/>
    </xf>
    <xf numFmtId="166" fontId="18" fillId="15" borderId="0" xfId="0" applyNumberFormat="1" applyFont="1" applyFill="1" applyAlignment="1" applyProtection="1">
      <alignment horizontal="right"/>
    </xf>
    <xf numFmtId="166" fontId="8" fillId="15" borderId="0" xfId="0" applyNumberFormat="1" applyFont="1" applyFill="1" applyAlignment="1" applyProtection="1">
      <alignment horizontal="center"/>
    </xf>
    <xf numFmtId="166" fontId="8" fillId="15" borderId="0" xfId="0" applyNumberFormat="1" applyFont="1" applyFill="1" applyAlignment="1" applyProtection="1">
      <alignment horizontal="right"/>
    </xf>
    <xf numFmtId="0" fontId="0" fillId="0" borderId="0" xfId="0"/>
    <xf numFmtId="0" fontId="8" fillId="4" borderId="0" xfId="0" applyFont="1" applyFill="1" applyAlignment="1"/>
    <xf numFmtId="0" fontId="8" fillId="3" borderId="2" xfId="0" applyFont="1" applyFill="1" applyBorder="1" applyAlignment="1" applyProtection="1">
      <alignment horizontal="center"/>
    </xf>
    <xf numFmtId="0" fontId="8" fillId="3" borderId="4" xfId="0" applyFont="1" applyFill="1" applyBorder="1" applyAlignment="1" applyProtection="1">
      <alignment horizontal="center"/>
    </xf>
    <xf numFmtId="0" fontId="8" fillId="2" borderId="1" xfId="0" applyFont="1" applyFill="1" applyBorder="1" applyAlignment="1" applyProtection="1">
      <alignment horizontal="center"/>
    </xf>
    <xf numFmtId="0" fontId="8" fillId="2" borderId="2" xfId="0" applyFont="1" applyFill="1" applyBorder="1" applyAlignment="1" applyProtection="1">
      <alignment horizontal="center"/>
    </xf>
    <xf numFmtId="0" fontId="8" fillId="2" borderId="4" xfId="0" applyFont="1" applyFill="1" applyBorder="1" applyAlignment="1" applyProtection="1">
      <alignment horizontal="center"/>
    </xf>
    <xf numFmtId="0" fontId="8" fillId="11" borderId="13" xfId="0" applyFont="1" applyFill="1" applyBorder="1" applyAlignment="1" applyProtection="1">
      <alignment horizontal="center"/>
    </xf>
    <xf numFmtId="0" fontId="8" fillId="4" borderId="0" xfId="0" applyNumberFormat="1" applyFont="1" applyFill="1" applyAlignment="1" applyProtection="1"/>
    <xf numFmtId="0" fontId="8" fillId="0" borderId="0" xfId="0" applyFont="1" applyFill="1" applyAlignment="1" applyProtection="1"/>
    <xf numFmtId="0" fontId="16" fillId="4" borderId="0" xfId="0" applyFont="1" applyFill="1" applyAlignment="1" applyProtection="1"/>
    <xf numFmtId="0" fontId="1" fillId="4" borderId="45" xfId="0" applyFont="1" applyFill="1" applyBorder="1" applyAlignment="1" applyProtection="1">
      <alignment horizontal="center" wrapText="1"/>
    </xf>
    <xf numFmtId="0" fontId="1" fillId="0" borderId="45" xfId="0" applyFont="1" applyFill="1" applyBorder="1" applyAlignment="1" applyProtection="1">
      <alignment horizontal="center" wrapText="1"/>
      <protection locked="0"/>
    </xf>
    <xf numFmtId="0" fontId="15" fillId="4" borderId="0" xfId="0" applyFont="1" applyFill="1" applyBorder="1" applyAlignment="1" applyProtection="1">
      <alignment horizontal="center" wrapText="1"/>
    </xf>
    <xf numFmtId="0" fontId="1" fillId="4" borderId="0" xfId="0" applyFont="1" applyFill="1" applyBorder="1" applyAlignment="1" applyProtection="1">
      <alignment horizontal="center" wrapText="1"/>
    </xf>
    <xf numFmtId="0" fontId="1" fillId="4" borderId="0" xfId="0" applyFont="1" applyFill="1" applyBorder="1" applyAlignment="1" applyProtection="1">
      <alignment horizontal="center" wrapText="1"/>
      <protection locked="0"/>
    </xf>
    <xf numFmtId="0" fontId="7" fillId="0" borderId="0" xfId="0" applyFont="1"/>
    <xf numFmtId="2" fontId="0" fillId="0" borderId="0" xfId="0" applyNumberFormat="1"/>
    <xf numFmtId="2" fontId="0" fillId="0" borderId="0" xfId="0" applyNumberFormat="1" applyFill="1"/>
    <xf numFmtId="0" fontId="1" fillId="0" borderId="0" xfId="0" applyFont="1"/>
    <xf numFmtId="0" fontId="25" fillId="0" borderId="0" xfId="0" applyFont="1"/>
    <xf numFmtId="0" fontId="7" fillId="0" borderId="0" xfId="0" applyFont="1" applyBorder="1"/>
    <xf numFmtId="0" fontId="0" fillId="0" borderId="0" xfId="0" applyFill="1" applyAlignment="1">
      <alignment horizontal="left"/>
    </xf>
    <xf numFmtId="0" fontId="0" fillId="0" borderId="0" xfId="0" applyFill="1" applyBorder="1" applyAlignment="1">
      <alignment horizontal="left"/>
    </xf>
    <xf numFmtId="0" fontId="0" fillId="0" borderId="0" xfId="0" applyAlignment="1">
      <alignment vertical="top" wrapText="1"/>
    </xf>
    <xf numFmtId="0" fontId="1" fillId="4" borderId="9" xfId="0" applyFont="1" applyFill="1" applyBorder="1" applyAlignment="1" applyProtection="1">
      <alignment horizontal="left" wrapText="1"/>
    </xf>
    <xf numFmtId="0" fontId="0" fillId="0" borderId="0" xfId="0"/>
    <xf numFmtId="0" fontId="8" fillId="2" borderId="7" xfId="0" applyFont="1" applyFill="1" applyBorder="1" applyAlignment="1" applyProtection="1">
      <alignment horizontal="center"/>
    </xf>
    <xf numFmtId="0" fontId="8" fillId="2" borderId="0" xfId="0" applyFont="1" applyFill="1" applyBorder="1" applyAlignment="1" applyProtection="1">
      <alignment horizontal="center"/>
    </xf>
    <xf numFmtId="0" fontId="8" fillId="2" borderId="8" xfId="0" applyFont="1" applyFill="1" applyBorder="1" applyAlignment="1" applyProtection="1">
      <alignment horizontal="center"/>
    </xf>
    <xf numFmtId="0" fontId="8" fillId="7" borderId="2" xfId="0" applyFont="1" applyFill="1" applyBorder="1" applyAlignment="1" applyProtection="1">
      <alignment horizontal="center"/>
    </xf>
    <xf numFmtId="0" fontId="8" fillId="15" borderId="11" xfId="0" applyFont="1" applyFill="1" applyBorder="1" applyAlignment="1" applyProtection="1">
      <alignment horizontal="center"/>
    </xf>
    <xf numFmtId="0" fontId="8" fillId="15" borderId="12" xfId="0" applyFont="1" applyFill="1" applyBorder="1" applyAlignment="1" applyProtection="1">
      <alignment horizontal="center"/>
    </xf>
    <xf numFmtId="0" fontId="8" fillId="15" borderId="13" xfId="0" applyFont="1" applyFill="1" applyBorder="1" applyAlignment="1" applyProtection="1">
      <alignment horizontal="center"/>
    </xf>
    <xf numFmtId="166" fontId="0" fillId="3" borderId="47" xfId="0" applyNumberFormat="1" applyFill="1" applyBorder="1"/>
    <xf numFmtId="166" fontId="0" fillId="3" borderId="48" xfId="0" applyNumberFormat="1" applyFill="1" applyBorder="1"/>
    <xf numFmtId="166" fontId="0" fillId="3" borderId="49" xfId="0" applyNumberFormat="1" applyFill="1" applyBorder="1"/>
    <xf numFmtId="0" fontId="0" fillId="2" borderId="9" xfId="0" applyFill="1" applyBorder="1" applyProtection="1"/>
    <xf numFmtId="0" fontId="26" fillId="0" borderId="0" xfId="0" applyFont="1"/>
    <xf numFmtId="0" fontId="9" fillId="0" borderId="0" xfId="0" applyFont="1"/>
    <xf numFmtId="0" fontId="0" fillId="0" borderId="0" xfId="0" applyNumberFormat="1"/>
    <xf numFmtId="0" fontId="0" fillId="0" borderId="0" xfId="0" applyFill="1"/>
    <xf numFmtId="0" fontId="25" fillId="0" borderId="0" xfId="0" applyFont="1" applyFill="1"/>
    <xf numFmtId="0" fontId="26" fillId="0" borderId="0" xfId="0" applyFont="1" applyFill="1"/>
    <xf numFmtId="0" fontId="0" fillId="0" borderId="0" xfId="0" applyFill="1" applyAlignment="1">
      <alignment horizontal="center" vertical="top" wrapText="1"/>
    </xf>
    <xf numFmtId="0" fontId="2" fillId="0" borderId="0" xfId="0" applyFont="1" applyFill="1"/>
    <xf numFmtId="0" fontId="0" fillId="0" borderId="0" xfId="0" applyFill="1" applyAlignment="1">
      <alignment horizontal="left" vertical="top"/>
    </xf>
    <xf numFmtId="0" fontId="0" fillId="0" borderId="0" xfId="0" applyFill="1" applyAlignment="1">
      <alignment wrapText="1"/>
    </xf>
    <xf numFmtId="0" fontId="7" fillId="0" borderId="0" xfId="0" applyFont="1" applyFill="1"/>
    <xf numFmtId="0" fontId="0" fillId="0" borderId="50" xfId="0" applyFill="1" applyBorder="1"/>
    <xf numFmtId="2" fontId="0" fillId="0" borderId="55" xfId="0" applyNumberFormat="1" applyFill="1" applyBorder="1"/>
    <xf numFmtId="2" fontId="0" fillId="0" borderId="56" xfId="0" applyNumberFormat="1" applyFill="1" applyBorder="1"/>
    <xf numFmtId="2" fontId="0" fillId="0" borderId="0" xfId="0" applyNumberFormat="1" applyFill="1" applyAlignment="1">
      <alignment wrapText="1"/>
    </xf>
    <xf numFmtId="0" fontId="1" fillId="0" borderId="0" xfId="0" applyFont="1" applyFill="1"/>
    <xf numFmtId="0" fontId="11" fillId="0" borderId="0" xfId="0" applyFont="1" applyFill="1"/>
    <xf numFmtId="0" fontId="1" fillId="0" borderId="0" xfId="0" applyFont="1" applyAlignment="1">
      <alignment wrapText="1"/>
    </xf>
    <xf numFmtId="2" fontId="2" fillId="0" borderId="0" xfId="0" applyNumberFormat="1" applyFont="1"/>
    <xf numFmtId="0" fontId="2" fillId="0" borderId="0" xfId="0" applyNumberFormat="1" applyFont="1"/>
    <xf numFmtId="2" fontId="0" fillId="0" borderId="57" xfId="0" applyNumberFormat="1" applyFill="1" applyBorder="1" applyProtection="1">
      <protection locked="0"/>
    </xf>
    <xf numFmtId="2" fontId="0" fillId="0" borderId="58" xfId="0" applyNumberFormat="1" applyFill="1" applyBorder="1" applyProtection="1">
      <protection locked="0"/>
    </xf>
    <xf numFmtId="0" fontId="7" fillId="3" borderId="59" xfId="0" applyFont="1" applyFill="1" applyBorder="1" applyAlignment="1" applyProtection="1">
      <alignment horizontal="right"/>
    </xf>
    <xf numFmtId="0" fontId="8" fillId="4" borderId="59" xfId="0" applyFont="1" applyFill="1" applyBorder="1" applyAlignment="1" applyProtection="1">
      <alignment horizontal="right"/>
    </xf>
    <xf numFmtId="0" fontId="8" fillId="4" borderId="60" xfId="0" applyNumberFormat="1" applyFont="1" applyFill="1" applyBorder="1" applyAlignment="1" applyProtection="1">
      <alignment horizontal="right"/>
    </xf>
    <xf numFmtId="167" fontId="8" fillId="4" borderId="60" xfId="0" applyNumberFormat="1" applyFont="1" applyFill="1" applyBorder="1" applyAlignment="1" applyProtection="1">
      <alignment horizontal="right"/>
    </xf>
    <xf numFmtId="0" fontId="8" fillId="4" borderId="59" xfId="0" applyFont="1" applyFill="1" applyBorder="1" applyProtection="1"/>
    <xf numFmtId="0" fontId="8" fillId="4" borderId="60" xfId="0" applyFont="1" applyFill="1" applyBorder="1" applyAlignment="1" applyProtection="1">
      <alignment horizontal="right"/>
    </xf>
    <xf numFmtId="0" fontId="8" fillId="3" borderId="60" xfId="0" applyFont="1" applyFill="1" applyBorder="1" applyAlignment="1" applyProtection="1">
      <alignment horizontal="right"/>
    </xf>
    <xf numFmtId="164" fontId="8" fillId="4" borderId="60" xfId="0" applyNumberFormat="1" applyFont="1" applyFill="1" applyBorder="1" applyAlignment="1" applyProtection="1">
      <alignment horizontal="right"/>
    </xf>
    <xf numFmtId="0" fontId="8" fillId="4" borderId="60" xfId="0" applyFont="1" applyFill="1" applyBorder="1" applyAlignment="1">
      <alignment horizontal="right"/>
    </xf>
    <xf numFmtId="0" fontId="16" fillId="4" borderId="60" xfId="0" applyFont="1" applyFill="1" applyBorder="1" applyAlignment="1" applyProtection="1">
      <alignment horizontal="right"/>
    </xf>
    <xf numFmtId="2" fontId="0" fillId="0" borderId="0" xfId="0" quotePrefix="1" applyNumberFormat="1"/>
    <xf numFmtId="17" fontId="0" fillId="0" borderId="0" xfId="0" quotePrefix="1" applyNumberFormat="1"/>
    <xf numFmtId="0" fontId="0" fillId="0" borderId="0" xfId="0" quotePrefix="1"/>
    <xf numFmtId="0" fontId="8" fillId="4" borderId="0" xfId="0" applyFont="1" applyFill="1" applyAlignment="1" applyProtection="1">
      <alignment horizontal="left" vertical="top"/>
    </xf>
    <xf numFmtId="0" fontId="18" fillId="3" borderId="0" xfId="0" applyFont="1" applyFill="1" applyAlignment="1" applyProtection="1">
      <alignment horizontal="left" vertical="top"/>
    </xf>
    <xf numFmtId="0" fontId="18" fillId="4" borderId="0" xfId="0" applyFont="1" applyFill="1" applyAlignment="1" applyProtection="1">
      <alignment horizontal="left" vertical="top"/>
    </xf>
    <xf numFmtId="166" fontId="8" fillId="4" borderId="0" xfId="0" applyNumberFormat="1" applyFont="1" applyFill="1" applyAlignment="1" applyProtection="1">
      <alignment horizontal="left" wrapText="1"/>
    </xf>
    <xf numFmtId="0" fontId="27" fillId="4" borderId="0" xfId="0" applyFont="1" applyFill="1" applyAlignment="1" applyProtection="1">
      <alignment horizontal="center"/>
    </xf>
    <xf numFmtId="0" fontId="28" fillId="0" borderId="0" xfId="0" applyFont="1"/>
    <xf numFmtId="0" fontId="29" fillId="0" borderId="0" xfId="0" applyFont="1"/>
    <xf numFmtId="0" fontId="32" fillId="0" borderId="0" xfId="0" applyFont="1"/>
    <xf numFmtId="0" fontId="31" fillId="0" borderId="0" xfId="0" applyFont="1"/>
    <xf numFmtId="0" fontId="30" fillId="0" borderId="0" xfId="0" applyFont="1"/>
    <xf numFmtId="0" fontId="32" fillId="0" borderId="0" xfId="0" quotePrefix="1" applyFont="1"/>
    <xf numFmtId="0" fontId="1" fillId="16" borderId="0" xfId="0" applyFont="1" applyFill="1"/>
    <xf numFmtId="2" fontId="1" fillId="16" borderId="0" xfId="0" applyNumberFormat="1" applyFont="1" applyFill="1"/>
    <xf numFmtId="0" fontId="31" fillId="16" borderId="0" xfId="0" applyFont="1" applyFill="1"/>
    <xf numFmtId="0" fontId="2" fillId="16" borderId="0" xfId="0" applyFont="1" applyFill="1"/>
    <xf numFmtId="0" fontId="0" fillId="16" borderId="0" xfId="0" applyFill="1"/>
    <xf numFmtId="0" fontId="2" fillId="16" borderId="0" xfId="0" applyFont="1" applyFill="1" applyAlignment="1">
      <alignment horizontal="center"/>
    </xf>
    <xf numFmtId="0" fontId="2" fillId="4" borderId="0" xfId="0" applyFont="1" applyFill="1" applyAlignment="1" applyProtection="1">
      <alignment horizontal="right"/>
    </xf>
    <xf numFmtId="2" fontId="0" fillId="0" borderId="57" xfId="0" applyNumberFormat="1" applyFill="1" applyBorder="1" applyAlignment="1" applyProtection="1">
      <alignment wrapText="1"/>
      <protection locked="0"/>
    </xf>
    <xf numFmtId="2" fontId="0" fillId="0" borderId="58" xfId="0" applyNumberFormat="1" applyFill="1" applyBorder="1" applyAlignment="1" applyProtection="1">
      <alignment wrapText="1"/>
      <protection locked="0"/>
    </xf>
    <xf numFmtId="0" fontId="2" fillId="4" borderId="0" xfId="0" applyFont="1" applyFill="1" applyProtection="1"/>
    <xf numFmtId="0" fontId="2" fillId="0" borderId="0" xfId="0" applyFont="1" applyProtection="1"/>
    <xf numFmtId="0" fontId="0" fillId="4" borderId="64" xfId="0" applyFill="1" applyBorder="1" applyProtection="1"/>
    <xf numFmtId="0" fontId="1" fillId="4" borderId="46" xfId="0" applyFont="1" applyFill="1" applyBorder="1" applyAlignment="1" applyProtection="1">
      <alignment horizontal="center" vertical="center" wrapText="1"/>
    </xf>
    <xf numFmtId="0" fontId="2" fillId="4" borderId="8" xfId="0" applyFont="1" applyFill="1" applyBorder="1" applyProtection="1"/>
    <xf numFmtId="0" fontId="16" fillId="4" borderId="0" xfId="0" applyFont="1" applyFill="1" applyAlignment="1" applyProtection="1">
      <alignment vertical="top"/>
    </xf>
    <xf numFmtId="0" fontId="15" fillId="4" borderId="65" xfId="0" applyFont="1" applyFill="1" applyBorder="1" applyAlignment="1" applyProtection="1">
      <alignment horizontal="center" wrapText="1"/>
    </xf>
    <xf numFmtId="0" fontId="16" fillId="0" borderId="0" xfId="0" applyFont="1" applyProtection="1"/>
    <xf numFmtId="0" fontId="2" fillId="0" borderId="46" xfId="0" applyFont="1" applyFill="1" applyBorder="1" applyAlignment="1" applyProtection="1">
      <alignment horizontal="center" vertical="center"/>
      <protection locked="0"/>
    </xf>
    <xf numFmtId="0" fontId="16" fillId="0" borderId="0" xfId="0" applyFont="1"/>
    <xf numFmtId="2" fontId="0" fillId="5" borderId="0" xfId="0" applyNumberFormat="1" applyFill="1" applyAlignment="1" applyProtection="1">
      <alignment horizontal="left"/>
    </xf>
    <xf numFmtId="49" fontId="15" fillId="4" borderId="0" xfId="0" applyNumberFormat="1" applyFont="1" applyFill="1" applyAlignment="1" applyProtection="1">
      <alignment wrapText="1"/>
    </xf>
    <xf numFmtId="49" fontId="15" fillId="4" borderId="0" xfId="0" applyNumberFormat="1" applyFont="1" applyFill="1" applyAlignment="1" applyProtection="1">
      <alignment vertical="top" wrapText="1"/>
    </xf>
    <xf numFmtId="0" fontId="16" fillId="4" borderId="0" xfId="0" applyFont="1" applyFill="1" applyBorder="1" applyAlignment="1" applyProtection="1"/>
    <xf numFmtId="0" fontId="16" fillId="0" borderId="0" xfId="0" applyFont="1" applyFill="1" applyProtection="1"/>
    <xf numFmtId="0" fontId="8" fillId="4" borderId="68" xfId="0" applyFont="1" applyFill="1" applyBorder="1" applyAlignment="1" applyProtection="1">
      <alignment vertical="top" wrapText="1"/>
    </xf>
    <xf numFmtId="0" fontId="8" fillId="4" borderId="40" xfId="0" applyFont="1" applyFill="1" applyBorder="1" applyAlignment="1" applyProtection="1">
      <alignment vertical="top" wrapText="1"/>
    </xf>
    <xf numFmtId="0" fontId="8" fillId="4" borderId="41" xfId="0" applyFont="1" applyFill="1" applyBorder="1" applyAlignment="1" applyProtection="1">
      <alignment vertical="top" wrapText="1"/>
    </xf>
    <xf numFmtId="0" fontId="8" fillId="5" borderId="0" xfId="0" applyFont="1" applyFill="1" applyBorder="1" applyProtection="1"/>
    <xf numFmtId="0" fontId="8" fillId="5" borderId="66" xfId="0" applyFont="1" applyFill="1" applyBorder="1" applyProtection="1"/>
    <xf numFmtId="0" fontId="0" fillId="0" borderId="0" xfId="0"/>
    <xf numFmtId="0" fontId="22" fillId="14" borderId="43" xfId="0" applyFont="1" applyFill="1" applyBorder="1" applyAlignment="1">
      <alignment horizontal="center"/>
    </xf>
    <xf numFmtId="0" fontId="0" fillId="0" borderId="0" xfId="0" applyAlignment="1"/>
    <xf numFmtId="0" fontId="16" fillId="4" borderId="0" xfId="0" applyFont="1" applyFill="1" applyAlignment="1" applyProtection="1">
      <alignment horizontal="right"/>
    </xf>
    <xf numFmtId="0" fontId="19" fillId="4" borderId="0" xfId="0" applyFont="1" applyFill="1" applyAlignment="1" applyProtection="1">
      <alignment horizontal="center" vertical="center"/>
    </xf>
    <xf numFmtId="0" fontId="18" fillId="4" borderId="0" xfId="0" applyFont="1" applyFill="1" applyAlignment="1" applyProtection="1"/>
    <xf numFmtId="0" fontId="16" fillId="3" borderId="0" xfId="0" applyFont="1" applyFill="1" applyAlignment="1" applyProtection="1"/>
    <xf numFmtId="0" fontId="16" fillId="3" borderId="0" xfId="0" applyFont="1" applyFill="1" applyAlignment="1" applyProtection="1">
      <alignment horizontal="right"/>
    </xf>
    <xf numFmtId="49" fontId="15" fillId="3" borderId="0" xfId="0" applyNumberFormat="1" applyFont="1" applyFill="1" applyAlignment="1" applyProtection="1">
      <alignment wrapText="1"/>
    </xf>
    <xf numFmtId="49" fontId="15" fillId="3" borderId="0" xfId="0" applyNumberFormat="1" applyFont="1" applyFill="1" applyAlignment="1" applyProtection="1">
      <alignment vertical="top" wrapText="1"/>
    </xf>
    <xf numFmtId="0" fontId="15" fillId="3" borderId="0" xfId="0" applyFont="1" applyFill="1" applyAlignment="1" applyProtection="1">
      <alignment horizontal="center" wrapText="1"/>
    </xf>
    <xf numFmtId="0" fontId="16" fillId="3" borderId="0" xfId="0" applyFont="1" applyFill="1" applyBorder="1" applyAlignment="1" applyProtection="1"/>
    <xf numFmtId="0" fontId="18" fillId="4" borderId="0" xfId="0" applyFont="1" applyFill="1" applyAlignment="1" applyProtection="1">
      <alignment vertical="top"/>
    </xf>
    <xf numFmtId="0" fontId="19" fillId="16" borderId="0" xfId="0" applyFont="1" applyFill="1" applyAlignment="1" applyProtection="1">
      <alignment horizontal="center" vertical="center"/>
    </xf>
    <xf numFmtId="0" fontId="0" fillId="0" borderId="46" xfId="0" applyBorder="1" applyAlignment="1" applyProtection="1">
      <alignment horizontal="center"/>
      <protection locked="0"/>
    </xf>
    <xf numFmtId="0" fontId="0" fillId="0" borderId="46" xfId="0" applyBorder="1" applyAlignment="1" applyProtection="1">
      <alignment horizontal="center" vertical="center"/>
      <protection locked="0"/>
    </xf>
    <xf numFmtId="0" fontId="1" fillId="3" borderId="0" xfId="0" applyFont="1" applyFill="1" applyAlignment="1" applyProtection="1">
      <alignment horizontal="center"/>
    </xf>
    <xf numFmtId="0" fontId="1" fillId="4" borderId="0" xfId="0" applyFont="1" applyFill="1" applyAlignment="1" applyProtection="1">
      <alignment horizontal="center"/>
    </xf>
    <xf numFmtId="0" fontId="8" fillId="4" borderId="71" xfId="0" applyFont="1" applyFill="1" applyBorder="1" applyAlignment="1" applyProtection="1">
      <alignment horizontal="right"/>
    </xf>
    <xf numFmtId="0" fontId="8" fillId="4" borderId="72" xfId="0" applyFont="1" applyFill="1" applyBorder="1" applyAlignment="1">
      <alignment horizontal="right"/>
    </xf>
    <xf numFmtId="0" fontId="8" fillId="4" borderId="39" xfId="0" applyFont="1" applyFill="1" applyBorder="1" applyAlignment="1" applyProtection="1">
      <alignment horizontal="center"/>
    </xf>
    <xf numFmtId="165" fontId="8" fillId="4" borderId="0" xfId="0" applyNumberFormat="1" applyFont="1" applyFill="1" applyProtection="1"/>
    <xf numFmtId="0" fontId="33" fillId="5" borderId="0" xfId="0" applyFont="1" applyFill="1" applyAlignment="1">
      <alignment horizontal="left"/>
    </xf>
    <xf numFmtId="0" fontId="33" fillId="5" borderId="0" xfId="0" applyFont="1" applyFill="1" applyAlignment="1" applyProtection="1">
      <alignment horizontal="left" wrapText="1"/>
    </xf>
    <xf numFmtId="0" fontId="16" fillId="4" borderId="0" xfId="0" applyNumberFormat="1" applyFont="1" applyFill="1" applyProtection="1"/>
    <xf numFmtId="0" fontId="7" fillId="7" borderId="0" xfId="0" applyFont="1" applyFill="1" applyAlignment="1" applyProtection="1">
      <alignment horizontal="right"/>
    </xf>
    <xf numFmtId="0" fontId="16" fillId="4" borderId="73" xfId="0" applyFont="1" applyFill="1" applyBorder="1" applyProtection="1"/>
    <xf numFmtId="0" fontId="16" fillId="4" borderId="75" xfId="0" applyFont="1" applyFill="1" applyBorder="1" applyProtection="1"/>
    <xf numFmtId="0" fontId="7" fillId="7" borderId="36" xfId="0" applyFont="1" applyFill="1" applyBorder="1" applyAlignment="1" applyProtection="1">
      <alignment horizontal="right"/>
    </xf>
    <xf numFmtId="167" fontId="7" fillId="7" borderId="0" xfId="0" applyNumberFormat="1" applyFont="1" applyFill="1" applyBorder="1" applyAlignment="1" applyProtection="1">
      <alignment horizontal="right"/>
    </xf>
    <xf numFmtId="0" fontId="2" fillId="4" borderId="80" xfId="0" applyFont="1" applyFill="1" applyBorder="1" applyProtection="1"/>
    <xf numFmtId="0" fontId="7" fillId="7" borderId="76" xfId="0" applyFont="1" applyFill="1" applyBorder="1" applyAlignment="1" applyProtection="1">
      <alignment horizontal="right"/>
    </xf>
    <xf numFmtId="0" fontId="7" fillId="7" borderId="83" xfId="0" applyFont="1" applyFill="1" applyBorder="1" applyAlignment="1" applyProtection="1">
      <alignment horizontal="right"/>
    </xf>
    <xf numFmtId="0" fontId="8" fillId="7" borderId="79" xfId="0" applyFont="1" applyFill="1" applyBorder="1" applyAlignment="1" applyProtection="1">
      <alignment horizontal="center"/>
    </xf>
    <xf numFmtId="0" fontId="8" fillId="7" borderId="78" xfId="0" applyFont="1" applyFill="1" applyBorder="1" applyAlignment="1" applyProtection="1">
      <alignment horizontal="center"/>
    </xf>
    <xf numFmtId="0" fontId="8" fillId="7" borderId="0" xfId="0" applyFont="1" applyFill="1" applyAlignment="1" applyProtection="1">
      <alignment horizontal="right"/>
    </xf>
    <xf numFmtId="0" fontId="8" fillId="7" borderId="73" xfId="0" applyFont="1" applyFill="1" applyBorder="1" applyAlignment="1" applyProtection="1">
      <alignment horizontal="right"/>
    </xf>
    <xf numFmtId="0" fontId="8" fillId="7" borderId="81" xfId="0" applyFont="1" applyFill="1" applyBorder="1" applyAlignment="1" applyProtection="1">
      <alignment horizontal="right"/>
    </xf>
    <xf numFmtId="0" fontId="18" fillId="7" borderId="82" xfId="0" applyFont="1" applyFill="1" applyBorder="1" applyAlignment="1" applyProtection="1">
      <alignment horizontal="right"/>
    </xf>
    <xf numFmtId="167" fontId="8" fillId="7" borderId="43" xfId="0" applyNumberFormat="1" applyFont="1" applyFill="1" applyBorder="1" applyAlignment="1" applyProtection="1">
      <alignment horizontal="right"/>
    </xf>
    <xf numFmtId="0" fontId="8" fillId="7" borderId="0" xfId="0" applyFont="1" applyFill="1" applyAlignment="1" applyProtection="1">
      <alignment horizontal="left"/>
    </xf>
    <xf numFmtId="167" fontId="8" fillId="7" borderId="74" xfId="0" applyNumberFormat="1" applyFont="1" applyFill="1" applyBorder="1" applyAlignment="1" applyProtection="1">
      <alignment horizontal="right"/>
    </xf>
    <xf numFmtId="0" fontId="18" fillId="7" borderId="10" xfId="0" applyFont="1" applyFill="1" applyBorder="1" applyAlignment="1" applyProtection="1">
      <alignment horizontal="right"/>
    </xf>
    <xf numFmtId="0" fontId="8" fillId="7" borderId="74" xfId="0" applyFont="1" applyFill="1" applyBorder="1" applyAlignment="1" applyProtection="1">
      <alignment horizontal="right"/>
    </xf>
    <xf numFmtId="0" fontId="8" fillId="7" borderId="84" xfId="0" applyFont="1" applyFill="1" applyBorder="1" applyAlignment="1" applyProtection="1">
      <alignment horizontal="right"/>
    </xf>
    <xf numFmtId="167" fontId="8" fillId="7" borderId="85" xfId="0" applyNumberFormat="1" applyFont="1" applyFill="1" applyBorder="1" applyAlignment="1" applyProtection="1">
      <alignment horizontal="right"/>
    </xf>
    <xf numFmtId="0" fontId="35" fillId="0" borderId="0" xfId="0" quotePrefix="1" applyFont="1" applyAlignment="1">
      <alignment vertical="center" wrapText="1"/>
    </xf>
    <xf numFmtId="0" fontId="37" fillId="0" borderId="0" xfId="0" applyFont="1" applyAlignment="1">
      <alignment wrapText="1"/>
    </xf>
    <xf numFmtId="0" fontId="37" fillId="0" borderId="0" xfId="0" applyFont="1" applyAlignment="1">
      <alignment horizontal="left"/>
    </xf>
    <xf numFmtId="0" fontId="37" fillId="0" borderId="0" xfId="0" applyFont="1" applyAlignment="1">
      <alignment vertical="center" wrapText="1"/>
    </xf>
    <xf numFmtId="0" fontId="37" fillId="0" borderId="0" xfId="0" applyFont="1" applyAlignment="1">
      <alignment vertical="center"/>
    </xf>
    <xf numFmtId="0" fontId="37" fillId="0" borderId="0" xfId="0" quotePrefix="1" applyFont="1" applyAlignment="1">
      <alignment vertical="center" wrapText="1"/>
    </xf>
    <xf numFmtId="0" fontId="35" fillId="0" borderId="0" xfId="0" quotePrefix="1" applyFont="1" applyAlignment="1">
      <alignment wrapText="1"/>
    </xf>
    <xf numFmtId="0" fontId="35" fillId="0" borderId="0" xfId="0" quotePrefix="1" applyFont="1" applyAlignment="1">
      <alignment vertical="center"/>
    </xf>
    <xf numFmtId="0" fontId="38" fillId="0" borderId="0" xfId="0" applyFont="1" applyAlignment="1">
      <alignment vertical="center"/>
    </xf>
    <xf numFmtId="0" fontId="39" fillId="0" borderId="0" xfId="0" applyFont="1" applyAlignment="1">
      <alignment vertical="center" wrapText="1"/>
    </xf>
    <xf numFmtId="0" fontId="35" fillId="0" borderId="0" xfId="0" applyFont="1" applyAlignment="1">
      <alignment vertical="center" wrapText="1"/>
    </xf>
    <xf numFmtId="0" fontId="35" fillId="0" borderId="0" xfId="0" applyFont="1"/>
    <xf numFmtId="0" fontId="35" fillId="0" borderId="0" xfId="0" applyFont="1" applyAlignment="1">
      <alignment wrapText="1"/>
    </xf>
    <xf numFmtId="0" fontId="37" fillId="0" borderId="0" xfId="0" applyFont="1"/>
    <xf numFmtId="0" fontId="40" fillId="14" borderId="43" xfId="0" applyFont="1" applyFill="1" applyBorder="1" applyAlignment="1">
      <alignment horizontal="center"/>
    </xf>
    <xf numFmtId="0" fontId="41" fillId="0" borderId="0" xfId="0" applyFont="1" applyFill="1" applyAlignment="1" applyProtection="1">
      <alignment horizontal="left" vertical="top"/>
    </xf>
    <xf numFmtId="0" fontId="42" fillId="0" borderId="0" xfId="0" applyFont="1" applyAlignment="1">
      <alignment vertical="center" wrapText="1"/>
    </xf>
    <xf numFmtId="0" fontId="43" fillId="0" borderId="0" xfId="0" applyFont="1" applyFill="1" applyAlignment="1" applyProtection="1">
      <alignment horizontal="left" vertical="top" wrapText="1"/>
    </xf>
    <xf numFmtId="0" fontId="44" fillId="0" borderId="0" xfId="0" applyFont="1" applyFill="1" applyAlignment="1" applyProtection="1">
      <alignment horizontal="left" vertical="top" wrapText="1"/>
    </xf>
    <xf numFmtId="0" fontId="44" fillId="0" borderId="0" xfId="0" applyFont="1" applyFill="1" applyAlignment="1" applyProtection="1">
      <alignment wrapText="1"/>
    </xf>
    <xf numFmtId="0" fontId="44" fillId="0" borderId="0" xfId="0" applyFont="1" applyFill="1" applyAlignment="1" applyProtection="1"/>
    <xf numFmtId="0" fontId="37" fillId="0" borderId="0" xfId="0" applyFont="1" applyAlignment="1">
      <alignment horizontal="left" wrapText="1"/>
    </xf>
    <xf numFmtId="0" fontId="33" fillId="5" borderId="0" xfId="0" applyFont="1" applyFill="1" applyAlignment="1" applyProtection="1">
      <alignment horizontal="left"/>
    </xf>
    <xf numFmtId="167" fontId="2" fillId="5" borderId="0" xfId="0" applyNumberFormat="1" applyFont="1" applyFill="1" applyAlignment="1" applyProtection="1">
      <alignment horizontal="left"/>
    </xf>
    <xf numFmtId="164" fontId="8" fillId="7" borderId="0" xfId="0" applyNumberFormat="1" applyFont="1" applyFill="1" applyBorder="1" applyAlignment="1" applyProtection="1">
      <alignment horizontal="right"/>
    </xf>
    <xf numFmtId="164" fontId="8" fillId="7" borderId="77" xfId="0" applyNumberFormat="1" applyFont="1" applyFill="1" applyBorder="1" applyAlignment="1" applyProtection="1">
      <alignment horizontal="right"/>
    </xf>
    <xf numFmtId="164" fontId="8" fillId="7" borderId="9" xfId="0" applyNumberFormat="1" applyFont="1" applyFill="1" applyBorder="1" applyAlignment="1" applyProtection="1">
      <alignment horizontal="right"/>
    </xf>
    <xf numFmtId="0" fontId="5" fillId="3" borderId="0" xfId="0" applyFont="1" applyFill="1" applyAlignment="1" applyProtection="1">
      <alignment horizontal="center" vertical="center"/>
    </xf>
    <xf numFmtId="0" fontId="11" fillId="4" borderId="0" xfId="0" applyFont="1" applyFill="1" applyAlignment="1">
      <alignment horizontal="center"/>
    </xf>
    <xf numFmtId="0" fontId="0" fillId="0" borderId="1" xfId="0" applyFill="1" applyBorder="1" applyAlignment="1" applyProtection="1">
      <alignment horizontal="left"/>
      <protection locked="0"/>
    </xf>
    <xf numFmtId="0" fontId="0" fillId="0" borderId="7" xfId="0" applyFill="1" applyBorder="1" applyAlignment="1" applyProtection="1">
      <alignment horizontal="left"/>
      <protection locked="0"/>
    </xf>
    <xf numFmtId="0" fontId="0" fillId="0" borderId="6" xfId="0" applyFill="1" applyBorder="1" applyAlignment="1" applyProtection="1">
      <alignment horizontal="left"/>
      <protection locked="0"/>
    </xf>
    <xf numFmtId="0" fontId="0" fillId="0" borderId="2" xfId="0" applyFill="1" applyBorder="1" applyAlignment="1" applyProtection="1">
      <alignment horizontal="left"/>
      <protection locked="0"/>
    </xf>
    <xf numFmtId="0" fontId="0" fillId="0" borderId="0" xfId="0" applyFill="1" applyBorder="1" applyAlignment="1" applyProtection="1">
      <alignment horizontal="left"/>
      <protection locked="0"/>
    </xf>
    <xf numFmtId="0" fontId="0" fillId="0" borderId="3" xfId="0" applyFill="1" applyBorder="1" applyAlignment="1" applyProtection="1">
      <alignment horizontal="left"/>
      <protection locked="0"/>
    </xf>
    <xf numFmtId="0" fontId="0" fillId="0" borderId="4" xfId="0" applyFill="1" applyBorder="1" applyAlignment="1" applyProtection="1">
      <alignment horizontal="left"/>
      <protection locked="0"/>
    </xf>
    <xf numFmtId="0" fontId="0" fillId="0" borderId="8" xfId="0" applyFill="1" applyBorder="1" applyAlignment="1" applyProtection="1">
      <alignment horizontal="left"/>
      <protection locked="0"/>
    </xf>
    <xf numFmtId="0" fontId="0" fillId="0" borderId="5" xfId="0" applyFill="1" applyBorder="1" applyAlignment="1" applyProtection="1">
      <alignment horizontal="left"/>
      <protection locked="0"/>
    </xf>
    <xf numFmtId="0" fontId="0" fillId="0" borderId="8" xfId="0" applyFill="1" applyBorder="1" applyAlignment="1" applyProtection="1">
      <alignment horizontal="center"/>
      <protection locked="0"/>
    </xf>
    <xf numFmtId="0" fontId="8" fillId="5" borderId="0" xfId="0" applyFont="1" applyFill="1" applyAlignment="1" applyProtection="1">
      <alignment horizontal="left" vertical="top" wrapText="1"/>
    </xf>
    <xf numFmtId="0" fontId="1" fillId="4" borderId="0" xfId="0" applyFont="1" applyFill="1" applyAlignment="1" applyProtection="1">
      <alignment horizontal="left" vertical="top" wrapText="1"/>
    </xf>
    <xf numFmtId="0" fontId="0" fillId="5" borderId="44" xfId="0" applyFill="1" applyBorder="1" applyAlignment="1" applyProtection="1">
      <alignment horizontal="left" wrapText="1"/>
    </xf>
    <xf numFmtId="0" fontId="0" fillId="5" borderId="0" xfId="0" applyFill="1" applyBorder="1" applyAlignment="1" applyProtection="1">
      <alignment horizontal="left" wrapText="1"/>
    </xf>
    <xf numFmtId="0" fontId="1" fillId="4" borderId="0" xfId="0" applyNumberFormat="1" applyFont="1" applyFill="1" applyAlignment="1" applyProtection="1">
      <alignment horizontal="left" vertical="top" wrapText="1"/>
    </xf>
    <xf numFmtId="0" fontId="0" fillId="5" borderId="0" xfId="0" applyFill="1" applyAlignment="1" applyProtection="1">
      <alignment horizontal="left" vertical="top" wrapText="1"/>
    </xf>
    <xf numFmtId="0" fontId="0" fillId="5" borderId="9" xfId="0" applyFill="1" applyBorder="1" applyAlignment="1" applyProtection="1">
      <alignment horizontal="left" vertical="top" wrapText="1"/>
    </xf>
    <xf numFmtId="0" fontId="1" fillId="4" borderId="46" xfId="0" applyFont="1" applyFill="1" applyBorder="1" applyAlignment="1" applyProtection="1">
      <alignment horizontal="center" vertical="center" wrapText="1"/>
    </xf>
    <xf numFmtId="0" fontId="17" fillId="4" borderId="46" xfId="0" applyFont="1" applyFill="1" applyBorder="1" applyAlignment="1" applyProtection="1">
      <alignment horizontal="center" vertical="center" wrapText="1"/>
    </xf>
    <xf numFmtId="0" fontId="2" fillId="0" borderId="1" xfId="0" applyFont="1" applyFill="1" applyBorder="1" applyAlignment="1" applyProtection="1">
      <alignment horizontal="left" vertical="center" wrapText="1"/>
      <protection locked="0"/>
    </xf>
    <xf numFmtId="0" fontId="0" fillId="0" borderId="7" xfId="0" applyFill="1" applyBorder="1" applyAlignment="1" applyProtection="1">
      <alignment horizontal="left" vertical="center"/>
      <protection locked="0"/>
    </xf>
    <xf numFmtId="0" fontId="0" fillId="0" borderId="2" xfId="0" applyFill="1" applyBorder="1" applyAlignment="1" applyProtection="1">
      <alignment horizontal="left" vertical="center"/>
      <protection locked="0"/>
    </xf>
    <xf numFmtId="0" fontId="0" fillId="0" borderId="0" xfId="0" applyFill="1" applyBorder="1" applyAlignment="1" applyProtection="1">
      <alignment horizontal="left" vertical="center"/>
      <protection locked="0"/>
    </xf>
    <xf numFmtId="0" fontId="0" fillId="0" borderId="4" xfId="0" applyFill="1" applyBorder="1" applyAlignment="1" applyProtection="1">
      <alignment horizontal="left" vertical="center"/>
      <protection locked="0"/>
    </xf>
    <xf numFmtId="0" fontId="0" fillId="0" borderId="8" xfId="0" applyFill="1" applyBorder="1" applyAlignment="1" applyProtection="1">
      <alignment horizontal="left" vertical="center"/>
      <protection locked="0"/>
    </xf>
    <xf numFmtId="0" fontId="1" fillId="4" borderId="51" xfId="0" applyFont="1" applyFill="1" applyBorder="1" applyAlignment="1" applyProtection="1">
      <alignment horizontal="center" wrapText="1"/>
    </xf>
    <xf numFmtId="0" fontId="1" fillId="4" borderId="52" xfId="0" applyFont="1" applyFill="1" applyBorder="1" applyAlignment="1" applyProtection="1">
      <alignment horizontal="center" wrapText="1"/>
    </xf>
    <xf numFmtId="0" fontId="1" fillId="0" borderId="53" xfId="0" applyFont="1" applyFill="1" applyBorder="1" applyAlignment="1" applyProtection="1">
      <alignment horizontal="center" wrapText="1"/>
      <protection locked="0"/>
    </xf>
    <xf numFmtId="0" fontId="1" fillId="0" borderId="54" xfId="0" applyFont="1" applyFill="1" applyBorder="1" applyAlignment="1" applyProtection="1">
      <alignment horizontal="center" wrapText="1"/>
      <protection locked="0"/>
    </xf>
    <xf numFmtId="0" fontId="18" fillId="4" borderId="11" xfId="0" applyFont="1" applyFill="1" applyBorder="1" applyAlignment="1" applyProtection="1">
      <alignment horizontal="center" vertical="center" wrapText="1"/>
    </xf>
    <xf numFmtId="0" fontId="18" fillId="4" borderId="12" xfId="0" applyFont="1" applyFill="1" applyBorder="1" applyAlignment="1" applyProtection="1">
      <alignment horizontal="center" vertical="center" wrapText="1"/>
    </xf>
    <xf numFmtId="0" fontId="18" fillId="4" borderId="38" xfId="0" quotePrefix="1" applyFont="1" applyFill="1" applyBorder="1" applyAlignment="1" applyProtection="1">
      <alignment horizontal="left" vertical="top" wrapText="1"/>
    </xf>
    <xf numFmtId="0" fontId="18" fillId="4" borderId="0" xfId="0" quotePrefix="1" applyFont="1" applyFill="1" applyBorder="1" applyAlignment="1" applyProtection="1">
      <alignment horizontal="left" vertical="top" wrapText="1"/>
    </xf>
    <xf numFmtId="0" fontId="18" fillId="4" borderId="39" xfId="0" quotePrefix="1" applyFont="1" applyFill="1" applyBorder="1" applyAlignment="1" applyProtection="1">
      <alignment horizontal="left" vertical="top" wrapText="1"/>
    </xf>
    <xf numFmtId="0" fontId="8" fillId="4" borderId="38" xfId="0" quotePrefix="1" applyFont="1" applyFill="1" applyBorder="1" applyAlignment="1" applyProtection="1">
      <alignment horizontal="left" vertical="top" wrapText="1"/>
    </xf>
    <xf numFmtId="0" fontId="8" fillId="4" borderId="0" xfId="0" quotePrefix="1" applyFont="1" applyFill="1" applyBorder="1" applyAlignment="1" applyProtection="1">
      <alignment horizontal="left" vertical="top" wrapText="1"/>
    </xf>
    <xf numFmtId="0" fontId="8" fillId="4" borderId="39" xfId="0" quotePrefix="1" applyFont="1" applyFill="1" applyBorder="1" applyAlignment="1" applyProtection="1">
      <alignment horizontal="left" vertical="top" wrapText="1"/>
    </xf>
    <xf numFmtId="0" fontId="8" fillId="4" borderId="38" xfId="0" applyFont="1" applyFill="1" applyBorder="1" applyAlignment="1" applyProtection="1">
      <alignment horizontal="left" vertical="top" wrapText="1"/>
    </xf>
    <xf numFmtId="0" fontId="8" fillId="4" borderId="0" xfId="0" applyFont="1" applyFill="1" applyBorder="1" applyAlignment="1" applyProtection="1">
      <alignment horizontal="left" vertical="top" wrapText="1"/>
    </xf>
    <xf numFmtId="0" fontId="8" fillId="4" borderId="39" xfId="0" applyFont="1" applyFill="1" applyBorder="1" applyAlignment="1" applyProtection="1">
      <alignment horizontal="left" vertical="top" wrapText="1"/>
    </xf>
    <xf numFmtId="0" fontId="19" fillId="3" borderId="0" xfId="0" applyFont="1" applyFill="1" applyAlignment="1" applyProtection="1">
      <alignment horizontal="center" wrapText="1"/>
    </xf>
    <xf numFmtId="0" fontId="23" fillId="5" borderId="0" xfId="0" applyFont="1" applyFill="1" applyAlignment="1" applyProtection="1">
      <alignment horizontal="left" wrapText="1"/>
    </xf>
    <xf numFmtId="0" fontId="23" fillId="5" borderId="9" xfId="0" applyFont="1" applyFill="1" applyBorder="1" applyAlignment="1" applyProtection="1">
      <alignment horizontal="left" wrapText="1"/>
    </xf>
    <xf numFmtId="0" fontId="8" fillId="5" borderId="15" xfId="0" applyFont="1" applyFill="1" applyBorder="1" applyAlignment="1" applyProtection="1">
      <alignment horizontal="left" vertical="top" wrapText="1"/>
    </xf>
    <xf numFmtId="0" fontId="8" fillId="5" borderId="0" xfId="0" applyFont="1" applyFill="1" applyBorder="1" applyAlignment="1" applyProtection="1">
      <alignment horizontal="left" vertical="top" wrapText="1"/>
    </xf>
    <xf numFmtId="0" fontId="8" fillId="5" borderId="0" xfId="0" applyFont="1" applyFill="1" applyBorder="1" applyAlignment="1" applyProtection="1">
      <alignment horizontal="left" vertical="center" wrapText="1"/>
    </xf>
    <xf numFmtId="0" fontId="8" fillId="5" borderId="66" xfId="0" applyFont="1" applyFill="1" applyBorder="1" applyAlignment="1" applyProtection="1">
      <alignment horizontal="left" vertical="center" wrapText="1"/>
    </xf>
    <xf numFmtId="0" fontId="8" fillId="5" borderId="9" xfId="0" applyFont="1" applyFill="1" applyBorder="1" applyAlignment="1" applyProtection="1">
      <alignment horizontal="left" vertical="top" wrapText="1"/>
    </xf>
    <xf numFmtId="2" fontId="18" fillId="4" borderId="69" xfId="0" applyNumberFormat="1" applyFont="1" applyFill="1" applyBorder="1" applyAlignment="1" applyProtection="1">
      <alignment horizontal="left" vertical="top" wrapText="1"/>
    </xf>
    <xf numFmtId="2" fontId="18" fillId="4" borderId="70" xfId="0" applyNumberFormat="1" applyFont="1" applyFill="1" applyBorder="1" applyAlignment="1" applyProtection="1">
      <alignment horizontal="left" vertical="top" wrapText="1"/>
    </xf>
    <xf numFmtId="2" fontId="18" fillId="4" borderId="66" xfId="0" applyNumberFormat="1" applyFont="1" applyFill="1" applyBorder="1" applyAlignment="1" applyProtection="1">
      <alignment horizontal="left" vertical="top" wrapText="1"/>
    </xf>
    <xf numFmtId="2" fontId="18" fillId="4" borderId="67" xfId="0" applyNumberFormat="1" applyFont="1" applyFill="1" applyBorder="1" applyAlignment="1" applyProtection="1">
      <alignment horizontal="left" vertical="top" wrapText="1"/>
    </xf>
    <xf numFmtId="0" fontId="18" fillId="4" borderId="0" xfId="0" applyFont="1" applyFill="1" applyAlignment="1" applyProtection="1">
      <alignment horizontal="center" vertical="center" wrapText="1"/>
    </xf>
    <xf numFmtId="0" fontId="34" fillId="17" borderId="35" xfId="0" applyFont="1" applyFill="1" applyBorder="1" applyAlignment="1" applyProtection="1">
      <alignment horizontal="right" vertical="top" wrapText="1"/>
    </xf>
    <xf numFmtId="0" fontId="34" fillId="17" borderId="37" xfId="0" applyFont="1" applyFill="1" applyBorder="1" applyAlignment="1" applyProtection="1">
      <alignment horizontal="right" vertical="top" wrapText="1"/>
    </xf>
    <xf numFmtId="0" fontId="34" fillId="17" borderId="68" xfId="0" applyFont="1" applyFill="1" applyBorder="1" applyAlignment="1" applyProtection="1">
      <alignment horizontal="right" vertical="top" wrapText="1"/>
    </xf>
    <xf numFmtId="0" fontId="34" fillId="17" borderId="41" xfId="0" applyFont="1" applyFill="1" applyBorder="1" applyAlignment="1" applyProtection="1">
      <alignment horizontal="right" vertical="top" wrapText="1"/>
    </xf>
    <xf numFmtId="0" fontId="7" fillId="3" borderId="0" xfId="0" applyFont="1" applyFill="1" applyBorder="1" applyAlignment="1" applyProtection="1">
      <alignment horizontal="right" wrapText="1"/>
    </xf>
    <xf numFmtId="0" fontId="18" fillId="5" borderId="43" xfId="0" applyFont="1" applyFill="1" applyBorder="1" applyAlignment="1">
      <alignment horizontal="center"/>
    </xf>
    <xf numFmtId="0" fontId="0" fillId="5" borderId="43" xfId="0" applyFill="1" applyBorder="1" applyAlignment="1">
      <alignment horizontal="center"/>
    </xf>
    <xf numFmtId="0" fontId="22" fillId="14" borderId="43" xfId="0" applyFont="1" applyFill="1" applyBorder="1" applyAlignment="1">
      <alignment horizontal="center"/>
    </xf>
    <xf numFmtId="0" fontId="0" fillId="0" borderId="0" xfId="0" applyAlignment="1">
      <alignment horizontal="left" wrapText="1"/>
    </xf>
    <xf numFmtId="0" fontId="26" fillId="0" borderId="0" xfId="0" applyFont="1" applyFill="1" applyAlignment="1">
      <alignment horizontal="center" wrapText="1"/>
    </xf>
    <xf numFmtId="0" fontId="0" fillId="0" borderId="0" xfId="0" applyAlignment="1">
      <alignment horizontal="center" vertical="top" wrapText="1"/>
    </xf>
    <xf numFmtId="0" fontId="0" fillId="8" borderId="0" xfId="0" applyFill="1" applyAlignment="1">
      <alignment horizontal="center"/>
    </xf>
    <xf numFmtId="0" fontId="0" fillId="0" borderId="0" xfId="0"/>
    <xf numFmtId="164" fontId="8" fillId="5" borderId="11" xfId="0" applyNumberFormat="1" applyFont="1" applyFill="1" applyBorder="1" applyAlignment="1" applyProtection="1">
      <alignment horizontal="center"/>
    </xf>
    <xf numFmtId="164" fontId="8" fillId="5" borderId="13" xfId="0" applyNumberFormat="1" applyFont="1" applyFill="1" applyBorder="1" applyAlignment="1" applyProtection="1">
      <alignment horizontal="center"/>
    </xf>
    <xf numFmtId="164" fontId="8" fillId="5" borderId="12" xfId="0" applyNumberFormat="1" applyFont="1" applyFill="1" applyBorder="1" applyAlignment="1" applyProtection="1">
      <alignment horizontal="center"/>
    </xf>
    <xf numFmtId="164" fontId="8" fillId="5" borderId="61" xfId="0" applyNumberFormat="1" applyFont="1" applyFill="1" applyBorder="1" applyAlignment="1" applyProtection="1">
      <alignment horizontal="center"/>
    </xf>
    <xf numFmtId="164" fontId="8" fillId="5" borderId="62" xfId="0" applyNumberFormat="1" applyFont="1" applyFill="1" applyBorder="1" applyAlignment="1" applyProtection="1">
      <alignment horizontal="center"/>
    </xf>
    <xf numFmtId="164" fontId="8" fillId="5" borderId="63" xfId="0" applyNumberFormat="1" applyFont="1" applyFill="1" applyBorder="1" applyAlignment="1" applyProtection="1">
      <alignment horizontal="center"/>
    </xf>
  </cellXfs>
  <cellStyles count="1">
    <cellStyle name="Normal" xfId="0" builtinId="0"/>
  </cellStyles>
  <dxfs count="2">
    <dxf>
      <border>
        <left style="thin">
          <color auto="1"/>
        </left>
        <right style="thin">
          <color auto="1"/>
        </right>
        <top style="thin">
          <color auto="1"/>
        </top>
        <bottom style="thin">
          <color auto="1"/>
        </bottom>
        <vertical/>
        <horizontal/>
      </border>
    </dxf>
    <dxf>
      <border>
        <left style="thin">
          <color theme="1"/>
        </left>
        <right style="thin">
          <color theme="1"/>
        </right>
        <top style="thin">
          <color theme="1"/>
        </top>
        <bottom style="thin">
          <color theme="1"/>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DE2"/>
      <color rgb="FFF5F4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Lan!$E$164</c:f>
          <c:strCache>
            <c:ptCount val="1"/>
            <c:pt idx="0">
              <c:v>Sannsynlighetsplott og minste kvadratsums linjetilpassing</c:v>
            </c:pt>
          </c:strCache>
        </c:strRef>
      </c:tx>
      <c:layout>
        <c:manualLayout>
          <c:xMode val="edge"/>
          <c:yMode val="edge"/>
          <c:x val="0.10891756047240701"/>
          <c:y val="3.3301456271907386E-2"/>
        </c:manualLayout>
      </c:layout>
      <c:overlay val="0"/>
      <c:spPr>
        <a:noFill/>
        <a:ln w="25400">
          <a:noFill/>
        </a:ln>
      </c:spPr>
      <c:txPr>
        <a:bodyPr/>
        <a:lstStyle/>
        <a:p>
          <a:pPr>
            <a:defRPr sz="1200" b="1" i="0" u="none" strike="noStrike" baseline="0">
              <a:solidFill>
                <a:srgbClr val="000000"/>
              </a:solidFill>
              <a:latin typeface="Geneva"/>
              <a:ea typeface="Geneva"/>
              <a:cs typeface="Geneva"/>
            </a:defRPr>
          </a:pPr>
          <a:endParaRPr lang="en-NO"/>
        </a:p>
      </c:txPr>
    </c:title>
    <c:autoTitleDeleted val="0"/>
    <c:plotArea>
      <c:layout>
        <c:manualLayout>
          <c:layoutTarget val="inner"/>
          <c:xMode val="edge"/>
          <c:yMode val="edge"/>
          <c:x val="4.0248978572944377E-2"/>
          <c:y val="0.13507526594233873"/>
          <c:w val="0.80497957145888754"/>
          <c:h val="0.79149366359194973"/>
        </c:manualLayout>
      </c:layout>
      <c:scatterChart>
        <c:scatterStyle val="lineMarker"/>
        <c:varyColors val="0"/>
        <c:ser>
          <c:idx val="1"/>
          <c:order val="0"/>
          <c:spPr>
            <a:ln w="19050">
              <a:noFill/>
            </a:ln>
          </c:spPr>
          <c:marker>
            <c:symbol val="dash"/>
            <c:size val="5"/>
            <c:spPr>
              <a:solidFill>
                <a:srgbClr val="000000"/>
              </a:solidFill>
              <a:ln>
                <a:solidFill>
                  <a:srgbClr val="000000"/>
                </a:solidFill>
                <a:prstDash val="solid"/>
              </a:ln>
            </c:spPr>
          </c:marker>
          <c:dLbls>
            <c:dLbl>
              <c:idx val="0"/>
              <c:tx>
                <c:rich>
                  <a:bodyPr/>
                  <a:lstStyle/>
                  <a:p>
                    <a:pPr>
                      <a:defRPr sz="1000" b="0" i="0" u="none" strike="noStrike" baseline="0">
                        <a:solidFill>
                          <a:srgbClr val="000000"/>
                        </a:solidFill>
                        <a:latin typeface="Geneva"/>
                        <a:ea typeface="Geneva"/>
                        <a:cs typeface="Geneva"/>
                      </a:defRPr>
                    </a:pPr>
                    <a:r>
                      <a:rPr lang="en-US"/>
                      <a:t>99%</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4B6E-404A-8DD7-B717E3E586C1}"/>
                </c:ext>
              </c:extLst>
            </c:dLbl>
            <c:dLbl>
              <c:idx val="1"/>
              <c:tx>
                <c:rich>
                  <a:bodyPr/>
                  <a:lstStyle/>
                  <a:p>
                    <a:pPr>
                      <a:defRPr sz="1000" b="0" i="0" u="none" strike="noStrike" baseline="0">
                        <a:solidFill>
                          <a:srgbClr val="000000"/>
                        </a:solidFill>
                        <a:latin typeface="Geneva"/>
                        <a:ea typeface="Geneva"/>
                        <a:cs typeface="Geneva"/>
                      </a:defRPr>
                    </a:pPr>
                    <a:r>
                      <a:rPr lang="en-US"/>
                      <a:t>98%</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B6E-404A-8DD7-B717E3E586C1}"/>
                </c:ext>
              </c:extLst>
            </c:dLbl>
            <c:dLbl>
              <c:idx val="2"/>
              <c:tx>
                <c:rich>
                  <a:bodyPr/>
                  <a:lstStyle/>
                  <a:p>
                    <a:pPr>
                      <a:defRPr sz="1000" b="0" i="0" u="none" strike="noStrike" baseline="0">
                        <a:solidFill>
                          <a:srgbClr val="000000"/>
                        </a:solidFill>
                        <a:latin typeface="Geneva"/>
                        <a:ea typeface="Geneva"/>
                        <a:cs typeface="Geneva"/>
                      </a:defRPr>
                    </a:pPr>
                    <a:r>
                      <a:rPr lang="en-US"/>
                      <a:t>95%</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B6E-404A-8DD7-B717E3E586C1}"/>
                </c:ext>
              </c:extLst>
            </c:dLbl>
            <c:dLbl>
              <c:idx val="3"/>
              <c:tx>
                <c:rich>
                  <a:bodyPr/>
                  <a:lstStyle/>
                  <a:p>
                    <a:pPr>
                      <a:defRPr sz="1000" b="0" i="0" u="none" strike="noStrike" baseline="0">
                        <a:solidFill>
                          <a:srgbClr val="000000"/>
                        </a:solidFill>
                        <a:latin typeface="Geneva"/>
                        <a:ea typeface="Geneva"/>
                        <a:cs typeface="Geneva"/>
                      </a:defRPr>
                    </a:pPr>
                    <a:r>
                      <a:rPr lang="en-US"/>
                      <a:t>90%</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B6E-404A-8DD7-B717E3E586C1}"/>
                </c:ext>
              </c:extLst>
            </c:dLbl>
            <c:dLbl>
              <c:idx val="4"/>
              <c:tx>
                <c:rich>
                  <a:bodyPr/>
                  <a:lstStyle/>
                  <a:p>
                    <a:pPr>
                      <a:defRPr sz="1000" b="0" i="0" u="none" strike="noStrike" baseline="0">
                        <a:solidFill>
                          <a:srgbClr val="000000"/>
                        </a:solidFill>
                        <a:latin typeface="Geneva"/>
                        <a:ea typeface="Geneva"/>
                        <a:cs typeface="Geneva"/>
                      </a:defRPr>
                    </a:pPr>
                    <a:r>
                      <a:rPr lang="en-US"/>
                      <a:t>84%</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B6E-404A-8DD7-B717E3E586C1}"/>
                </c:ext>
              </c:extLst>
            </c:dLbl>
            <c:dLbl>
              <c:idx val="5"/>
              <c:tx>
                <c:rich>
                  <a:bodyPr/>
                  <a:lstStyle/>
                  <a:p>
                    <a:pPr>
                      <a:defRPr sz="1000" b="0" i="0" u="none" strike="noStrike" baseline="0">
                        <a:solidFill>
                          <a:srgbClr val="000000"/>
                        </a:solidFill>
                        <a:latin typeface="Geneva"/>
                        <a:ea typeface="Geneva"/>
                        <a:cs typeface="Geneva"/>
                      </a:defRPr>
                    </a:pPr>
                    <a:r>
                      <a:rPr lang="en-US"/>
                      <a:t>75%</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B6E-404A-8DD7-B717E3E586C1}"/>
                </c:ext>
              </c:extLst>
            </c:dLbl>
            <c:dLbl>
              <c:idx val="6"/>
              <c:tx>
                <c:rich>
                  <a:bodyPr/>
                  <a:lstStyle/>
                  <a:p>
                    <a:pPr>
                      <a:defRPr sz="1000" b="0" i="0" u="none" strike="noStrike" baseline="0">
                        <a:solidFill>
                          <a:srgbClr val="000000"/>
                        </a:solidFill>
                        <a:latin typeface="Geneva"/>
                        <a:ea typeface="Geneva"/>
                        <a:cs typeface="Geneva"/>
                      </a:defRPr>
                    </a:pPr>
                    <a:r>
                      <a:rPr lang="en-US"/>
                      <a:t>50%</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B6E-404A-8DD7-B717E3E586C1}"/>
                </c:ext>
              </c:extLst>
            </c:dLbl>
            <c:dLbl>
              <c:idx val="7"/>
              <c:tx>
                <c:rich>
                  <a:bodyPr/>
                  <a:lstStyle/>
                  <a:p>
                    <a:pPr>
                      <a:defRPr sz="1000" b="0" i="0" u="none" strike="noStrike" baseline="0">
                        <a:solidFill>
                          <a:srgbClr val="000000"/>
                        </a:solidFill>
                        <a:latin typeface="Geneva"/>
                        <a:ea typeface="Geneva"/>
                        <a:cs typeface="Geneva"/>
                      </a:defRPr>
                    </a:pPr>
                    <a:r>
                      <a:rPr lang="en-US"/>
                      <a:t>25%</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B6E-404A-8DD7-B717E3E586C1}"/>
                </c:ext>
              </c:extLst>
            </c:dLbl>
            <c:dLbl>
              <c:idx val="8"/>
              <c:tx>
                <c:rich>
                  <a:bodyPr/>
                  <a:lstStyle/>
                  <a:p>
                    <a:pPr>
                      <a:defRPr sz="1000" b="0" i="0" u="none" strike="noStrike" baseline="0">
                        <a:solidFill>
                          <a:srgbClr val="000000"/>
                        </a:solidFill>
                        <a:latin typeface="Geneva"/>
                        <a:ea typeface="Geneva"/>
                        <a:cs typeface="Geneva"/>
                      </a:defRPr>
                    </a:pPr>
                    <a:r>
                      <a:rPr lang="en-US"/>
                      <a:t>16%</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B6E-404A-8DD7-B717E3E586C1}"/>
                </c:ext>
              </c:extLst>
            </c:dLbl>
            <c:dLbl>
              <c:idx val="9"/>
              <c:tx>
                <c:rich>
                  <a:bodyPr/>
                  <a:lstStyle/>
                  <a:p>
                    <a:pPr>
                      <a:defRPr sz="1000" b="0" i="0" u="none" strike="noStrike" baseline="0">
                        <a:solidFill>
                          <a:srgbClr val="000000"/>
                        </a:solidFill>
                        <a:latin typeface="Geneva"/>
                        <a:ea typeface="Geneva"/>
                        <a:cs typeface="Geneva"/>
                      </a:defRPr>
                    </a:pPr>
                    <a:r>
                      <a:rPr lang="en-US"/>
                      <a:t>10%</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B6E-404A-8DD7-B717E3E586C1}"/>
                </c:ext>
              </c:extLst>
            </c:dLbl>
            <c:dLbl>
              <c:idx val="10"/>
              <c:tx>
                <c:rich>
                  <a:bodyPr/>
                  <a:lstStyle/>
                  <a:p>
                    <a:pPr>
                      <a:defRPr sz="1000" b="0" i="0" u="none" strike="noStrike" baseline="0">
                        <a:solidFill>
                          <a:srgbClr val="000000"/>
                        </a:solidFill>
                        <a:latin typeface="Geneva"/>
                        <a:ea typeface="Geneva"/>
                        <a:cs typeface="Geneva"/>
                      </a:defRPr>
                    </a:pPr>
                    <a:r>
                      <a:rPr lang="en-US"/>
                      <a:t>5%</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B6E-404A-8DD7-B717E3E586C1}"/>
                </c:ext>
              </c:extLst>
            </c:dLbl>
            <c:dLbl>
              <c:idx val="11"/>
              <c:tx>
                <c:rich>
                  <a:bodyPr/>
                  <a:lstStyle/>
                  <a:p>
                    <a:pPr>
                      <a:defRPr sz="1000" b="0" i="0" u="none" strike="noStrike" baseline="0">
                        <a:solidFill>
                          <a:srgbClr val="000000"/>
                        </a:solidFill>
                        <a:latin typeface="Geneva"/>
                        <a:ea typeface="Geneva"/>
                        <a:cs typeface="Geneva"/>
                      </a:defRPr>
                    </a:pPr>
                    <a:r>
                      <a:rPr lang="en-US"/>
                      <a:t>2%</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B6E-404A-8DD7-B717E3E586C1}"/>
                </c:ext>
              </c:extLst>
            </c:dLbl>
            <c:dLbl>
              <c:idx val="12"/>
              <c:tx>
                <c:rich>
                  <a:bodyPr/>
                  <a:lstStyle/>
                  <a:p>
                    <a:pPr>
                      <a:defRPr sz="1000" b="0" i="0" u="none" strike="noStrike" baseline="0">
                        <a:solidFill>
                          <a:srgbClr val="000000"/>
                        </a:solidFill>
                        <a:latin typeface="Geneva"/>
                        <a:ea typeface="Geneva"/>
                        <a:cs typeface="Geneva"/>
                      </a:defRPr>
                    </a:pPr>
                    <a:r>
                      <a:rPr lang="en-US"/>
                      <a:t>1%</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B6E-404A-8DD7-B717E3E586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STAT!$I$9:$I$21</c:f>
              <c:numCache>
                <c:formatCode>General</c:formatCode>
                <c:ptCount val="13"/>
                <c:pt idx="0">
                  <c:v>5</c:v>
                </c:pt>
                <c:pt idx="1">
                  <c:v>5</c:v>
                </c:pt>
                <c:pt idx="2">
                  <c:v>5</c:v>
                </c:pt>
                <c:pt idx="3">
                  <c:v>5</c:v>
                </c:pt>
                <c:pt idx="4">
                  <c:v>5</c:v>
                </c:pt>
                <c:pt idx="5">
                  <c:v>5</c:v>
                </c:pt>
                <c:pt idx="6">
                  <c:v>5</c:v>
                </c:pt>
                <c:pt idx="7">
                  <c:v>5</c:v>
                </c:pt>
                <c:pt idx="8">
                  <c:v>5</c:v>
                </c:pt>
                <c:pt idx="9">
                  <c:v>5</c:v>
                </c:pt>
                <c:pt idx="10">
                  <c:v>5</c:v>
                </c:pt>
                <c:pt idx="11">
                  <c:v>5</c:v>
                </c:pt>
                <c:pt idx="12">
                  <c:v>5</c:v>
                </c:pt>
              </c:numCache>
            </c:numRef>
          </c:xVal>
          <c:yVal>
            <c:numRef>
              <c:f>STAT!$J$9:$J$21</c:f>
              <c:numCache>
                <c:formatCode>General</c:formatCode>
                <c:ptCount val="13"/>
                <c:pt idx="0">
                  <c:v>7.33</c:v>
                </c:pt>
                <c:pt idx="1">
                  <c:v>7.05</c:v>
                </c:pt>
                <c:pt idx="2">
                  <c:v>6.6449999999999996</c:v>
                </c:pt>
                <c:pt idx="3">
                  <c:v>6.28</c:v>
                </c:pt>
                <c:pt idx="4">
                  <c:v>6</c:v>
                </c:pt>
                <c:pt idx="5">
                  <c:v>5.67</c:v>
                </c:pt>
                <c:pt idx="6">
                  <c:v>5</c:v>
                </c:pt>
                <c:pt idx="7">
                  <c:v>4.33</c:v>
                </c:pt>
                <c:pt idx="8">
                  <c:v>4</c:v>
                </c:pt>
                <c:pt idx="9">
                  <c:v>3.7199999999999998</c:v>
                </c:pt>
                <c:pt idx="10">
                  <c:v>3.355</c:v>
                </c:pt>
                <c:pt idx="11">
                  <c:v>2.95</c:v>
                </c:pt>
                <c:pt idx="12">
                  <c:v>2.67</c:v>
                </c:pt>
              </c:numCache>
            </c:numRef>
          </c:yVal>
          <c:smooth val="0"/>
          <c:extLst>
            <c:ext xmlns:c16="http://schemas.microsoft.com/office/drawing/2014/chart" uri="{C3380CC4-5D6E-409C-BE32-E72D297353CC}">
              <c16:uniqueId val="{0000000D-4B6E-404A-8DD7-B717E3E586C1}"/>
            </c:ext>
          </c:extLst>
        </c:ser>
        <c:ser>
          <c:idx val="2"/>
          <c:order val="1"/>
          <c:spPr>
            <a:ln w="12700">
              <a:solidFill>
                <a:srgbClr val="0000FF"/>
              </a:solidFill>
              <a:prstDash val="solid"/>
            </a:ln>
          </c:spPr>
          <c:marker>
            <c:symbol val="none"/>
          </c:marker>
          <c:xVal>
            <c:numRef>
              <c:f>STAT!$AE$109:$AE$110</c:f>
              <c:numCache>
                <c:formatCode>General</c:formatCode>
                <c:ptCount val="2"/>
                <c:pt idx="0">
                  <c:v>-2.4832529398690368E-2</c:v>
                </c:pt>
                <c:pt idx="1">
                  <c:v>4.7356344675897361E-2</c:v>
                </c:pt>
              </c:numCache>
            </c:numRef>
          </c:xVal>
          <c:yVal>
            <c:numRef>
              <c:f>STAT!$AF$109:$AF$110</c:f>
              <c:numCache>
                <c:formatCode>General</c:formatCode>
                <c:ptCount val="2"/>
                <c:pt idx="0">
                  <c:v>2.5</c:v>
                </c:pt>
                <c:pt idx="1">
                  <c:v>7.33</c:v>
                </c:pt>
              </c:numCache>
            </c:numRef>
          </c:yVal>
          <c:smooth val="0"/>
          <c:extLst>
            <c:ext xmlns:c16="http://schemas.microsoft.com/office/drawing/2014/chart" uri="{C3380CC4-5D6E-409C-BE32-E72D297353CC}">
              <c16:uniqueId val="{0000000E-4B6E-404A-8DD7-B717E3E586C1}"/>
            </c:ext>
          </c:extLst>
        </c:ser>
        <c:ser>
          <c:idx val="3"/>
          <c:order val="2"/>
          <c:spPr>
            <a:ln w="19050">
              <a:noFill/>
            </a:ln>
          </c:spPr>
          <c:marker>
            <c:symbol val="square"/>
            <c:size val="5"/>
            <c:spPr>
              <a:solidFill>
                <a:srgbClr val="FFFF00"/>
              </a:solidFill>
              <a:ln>
                <a:solidFill>
                  <a:srgbClr val="000000"/>
                </a:solidFill>
                <a:prstDash val="solid"/>
              </a:ln>
            </c:spPr>
          </c:marker>
          <c:xVal>
            <c:numRef>
              <c:f>STAT!$Q$114:$Q$163</c:f>
              <c:numCache>
                <c:formatCode>General</c:formatCode>
                <c:ptCount val="50"/>
                <c:pt idx="0">
                  <c:v>3.0000000000000001E-3</c:v>
                </c:pt>
                <c:pt idx="1">
                  <c:v>3.2000000000000002E-3</c:v>
                </c:pt>
                <c:pt idx="2">
                  <c:v>4.7999999999999996E-3</c:v>
                </c:pt>
                <c:pt idx="3">
                  <c:v>6.3664274045222491E-3</c:v>
                </c:pt>
                <c:pt idx="4">
                  <c:v>6.3664274045222491E-3</c:v>
                </c:pt>
                <c:pt idx="5">
                  <c:v>6.3664274045222491E-3</c:v>
                </c:pt>
                <c:pt idx="6">
                  <c:v>6.8561525894854994E-3</c:v>
                </c:pt>
                <c:pt idx="7">
                  <c:v>1.6500000000000001E-2</c:v>
                </c:pt>
                <c:pt idx="8">
                  <c:v>1.9E-2</c:v>
                </c:pt>
                <c:pt idx="9">
                  <c:v>3.1399999999999997E-2</c:v>
                </c:pt>
                <c:pt idx="10">
                  <c:v>3.4000000000000002E-2</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xVal>
          <c:yVal>
            <c:numRef>
              <c:f>STAT!$V$114:$V$163</c:f>
              <c:numCache>
                <c:formatCode>0.0000</c:formatCode>
                <c:ptCount val="50"/>
                <c:pt idx="0">
                  <c:v>8.3333333333333329E-2</c:v>
                </c:pt>
                <c:pt idx="1">
                  <c:v>0.16666666666666666</c:v>
                </c:pt>
                <c:pt idx="2">
                  <c:v>0.25</c:v>
                </c:pt>
                <c:pt idx="3">
                  <c:v>0.33333333333333331</c:v>
                </c:pt>
                <c:pt idx="4">
                  <c:v>0.41666666666666669</c:v>
                </c:pt>
                <c:pt idx="5">
                  <c:v>0.5</c:v>
                </c:pt>
                <c:pt idx="6">
                  <c:v>0.58333333333333337</c:v>
                </c:pt>
                <c:pt idx="7">
                  <c:v>0.66666666666666663</c:v>
                </c:pt>
                <c:pt idx="8">
                  <c:v>0.75</c:v>
                </c:pt>
                <c:pt idx="9">
                  <c:v>0.83333333333333337</c:v>
                </c:pt>
                <c:pt idx="10">
                  <c:v>0.91666666666666663</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F-4B6E-404A-8DD7-B717E3E586C1}"/>
            </c:ext>
          </c:extLst>
        </c:ser>
        <c:ser>
          <c:idx val="4"/>
          <c:order val="3"/>
          <c:spPr>
            <a:ln w="19050">
              <a:noFill/>
            </a:ln>
          </c:spPr>
          <c:marker>
            <c:symbol val="square"/>
            <c:size val="5"/>
            <c:spPr>
              <a:solidFill>
                <a:srgbClr val="FF00FF"/>
              </a:solidFill>
              <a:ln>
                <a:solidFill>
                  <a:srgbClr val="000000"/>
                </a:solidFill>
                <a:prstDash val="solid"/>
              </a:ln>
            </c:spPr>
          </c:marker>
          <c:xVal>
            <c:numRef>
              <c:f>STAT!$Q$114:$Q$163</c:f>
              <c:numCache>
                <c:formatCode>General</c:formatCode>
                <c:ptCount val="50"/>
                <c:pt idx="0">
                  <c:v>3.0000000000000001E-3</c:v>
                </c:pt>
                <c:pt idx="1">
                  <c:v>3.2000000000000002E-3</c:v>
                </c:pt>
                <c:pt idx="2">
                  <c:v>4.7999999999999996E-3</c:v>
                </c:pt>
                <c:pt idx="3">
                  <c:v>6.3664274045222491E-3</c:v>
                </c:pt>
                <c:pt idx="4">
                  <c:v>6.3664274045222491E-3</c:v>
                </c:pt>
                <c:pt idx="5">
                  <c:v>6.3664274045222491E-3</c:v>
                </c:pt>
                <c:pt idx="6">
                  <c:v>6.8561525894854994E-3</c:v>
                </c:pt>
                <c:pt idx="7">
                  <c:v>1.6500000000000001E-2</c:v>
                </c:pt>
                <c:pt idx="8">
                  <c:v>1.9E-2</c:v>
                </c:pt>
                <c:pt idx="9">
                  <c:v>3.1399999999999997E-2</c:v>
                </c:pt>
                <c:pt idx="10">
                  <c:v>3.4000000000000002E-2</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xVal>
          <c:yVal>
            <c:numRef>
              <c:f>STAT!$U$114:$U$163</c:f>
              <c:numCache>
                <c:formatCode>General</c:formatCode>
                <c:ptCount val="50"/>
                <c:pt idx="0">
                  <c:v>3.6170058728993606</c:v>
                </c:pt>
                <c:pt idx="1">
                  <c:v>4.0325784338982995</c:v>
                </c:pt>
                <c:pt idx="2">
                  <c:v>4.3255102498039184</c:v>
                </c:pt>
                <c:pt idx="3">
                  <c:v>4.5692727007045422</c:v>
                </c:pt>
                <c:pt idx="4">
                  <c:v>4.7895716057520756</c:v>
                </c:pt>
                <c:pt idx="5">
                  <c:v>5</c:v>
                </c:pt>
                <c:pt idx="6">
                  <c:v>5.2104283942479253</c:v>
                </c:pt>
                <c:pt idx="7">
                  <c:v>5.4307272992954578</c:v>
                </c:pt>
                <c:pt idx="8">
                  <c:v>5.6744897501960816</c:v>
                </c:pt>
                <c:pt idx="9">
                  <c:v>5.9674215661017005</c:v>
                </c:pt>
                <c:pt idx="10">
                  <c:v>6.3829941271006376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10-4B6E-404A-8DD7-B717E3E586C1}"/>
            </c:ext>
          </c:extLst>
        </c:ser>
        <c:dLbls>
          <c:showLegendKey val="0"/>
          <c:showVal val="0"/>
          <c:showCatName val="0"/>
          <c:showSerName val="0"/>
          <c:showPercent val="0"/>
          <c:showBubbleSize val="0"/>
        </c:dLbls>
        <c:axId val="86147743"/>
        <c:axId val="1"/>
      </c:scatterChart>
      <c:valAx>
        <c:axId val="86147743"/>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strRef>
              <c:f>Lan!$E$165</c:f>
              <c:strCache>
                <c:ptCount val="1"/>
                <c:pt idx="0">
                  <c:v>Konsentrasjon</c:v>
                </c:pt>
              </c:strCache>
            </c:strRef>
          </c:tx>
          <c:layout>
            <c:manualLayout>
              <c:xMode val="edge"/>
              <c:yMode val="edge"/>
              <c:x val="0.33128007605860416"/>
              <c:y val="0.96321943844484914"/>
            </c:manualLayout>
          </c:layout>
          <c:overlay val="0"/>
          <c:spPr>
            <a:noFill/>
            <a:ln w="25400">
              <a:noFill/>
            </a:ln>
          </c:spPr>
          <c:txPr>
            <a:bodyPr/>
            <a:lstStyle/>
            <a:p>
              <a:pPr>
                <a:defRPr sz="1000" b="1" i="0" u="none" strike="noStrike" baseline="0">
                  <a:solidFill>
                    <a:srgbClr val="000000"/>
                  </a:solidFill>
                  <a:latin typeface="Geneva"/>
                  <a:ea typeface="Geneva"/>
                  <a:cs typeface="Geneva"/>
                </a:defRPr>
              </a:pPr>
              <a:endParaRPr lang="en-NO"/>
            </a:p>
          </c:txPr>
        </c:title>
        <c:numFmt formatCode="General" sourceLinked="1"/>
        <c:majorTickMark val="cross"/>
        <c:min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Geneva"/>
                <a:ea typeface="Geneva"/>
                <a:cs typeface="Geneva"/>
              </a:defRPr>
            </a:pPr>
            <a:endParaRPr lang="en-NO"/>
          </a:p>
        </c:txPr>
        <c:crossAx val="1"/>
        <c:crossesAt val="2.5"/>
        <c:crossBetween val="midCat"/>
      </c:valAx>
      <c:valAx>
        <c:axId val="1"/>
        <c:scaling>
          <c:orientation val="minMax"/>
          <c:min val="2.5"/>
        </c:scaling>
        <c:delete val="0"/>
        <c:axPos val="r"/>
        <c:majorGridlines>
          <c:spPr>
            <a:ln w="3175">
              <a:solidFill>
                <a:srgbClr val="000000"/>
              </a:solidFill>
              <a:prstDash val="solid"/>
            </a:ln>
          </c:spPr>
        </c:majorGridlines>
        <c:numFmt formatCode="General" sourceLinked="1"/>
        <c:majorTickMark val="cross"/>
        <c:minorTickMark val="cross"/>
        <c:tickLblPos val="none"/>
        <c:spPr>
          <a:ln w="3175">
            <a:solidFill>
              <a:srgbClr val="000000"/>
            </a:solidFill>
            <a:prstDash val="solid"/>
          </a:ln>
        </c:spPr>
        <c:crossAx val="86147743"/>
        <c:crosses val="max"/>
        <c:crossBetween val="midCat"/>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Geneva"/>
          <a:ea typeface="Geneva"/>
          <a:cs typeface="Geneva"/>
        </a:defRPr>
      </a:pPr>
      <a:endParaRPr lang="en-NO"/>
    </a:p>
  </c:txPr>
  <c:printSettings>
    <c:headerFooter alignWithMargins="0">
      <c:oddFooter>&amp;CPage &amp;P</c:oddFooter>
    </c:headerFooter>
    <c:pageMargins b="1" l="0.75" r="0.7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Lan!$E$166</c:f>
          <c:strCache>
            <c:ptCount val="1"/>
            <c:pt idx="0">
              <c:v>Log-Sannsynlighetsplott og minste kvadratsums linjetilpassing</c:v>
            </c:pt>
          </c:strCache>
        </c:strRef>
      </c:tx>
      <c:layout>
        <c:manualLayout>
          <c:xMode val="edge"/>
          <c:yMode val="edge"/>
          <c:x val="6.1976496340053852E-2"/>
          <c:y val="2.7216191326440344E-2"/>
        </c:manualLayout>
      </c:layout>
      <c:overlay val="0"/>
      <c:spPr>
        <a:noFill/>
        <a:ln w="25400">
          <a:noFill/>
        </a:ln>
      </c:spPr>
      <c:txPr>
        <a:bodyPr/>
        <a:lstStyle/>
        <a:p>
          <a:pPr>
            <a:defRPr sz="1200" b="1" i="0" u="none" strike="noStrike" baseline="0">
              <a:solidFill>
                <a:srgbClr val="000000"/>
              </a:solidFill>
              <a:latin typeface="Geneva"/>
              <a:ea typeface="Geneva"/>
              <a:cs typeface="Geneva"/>
            </a:defRPr>
          </a:pPr>
          <a:endParaRPr lang="en-NO"/>
        </a:p>
      </c:txPr>
    </c:title>
    <c:autoTitleDeleted val="0"/>
    <c:plotArea>
      <c:layout>
        <c:manualLayout>
          <c:layoutTarget val="inner"/>
          <c:xMode val="edge"/>
          <c:yMode val="edge"/>
          <c:x val="3.0517440853133491E-2"/>
          <c:y val="0.13470747154293586"/>
          <c:w val="0.8239709030346043"/>
          <c:h val="0.79454576435494362"/>
        </c:manualLayout>
      </c:layout>
      <c:scatterChart>
        <c:scatterStyle val="lineMarker"/>
        <c:varyColors val="0"/>
        <c:ser>
          <c:idx val="0"/>
          <c:order val="0"/>
          <c:spPr>
            <a:ln w="19050">
              <a:noFill/>
            </a:ln>
          </c:spPr>
          <c:marker>
            <c:symbol val="dash"/>
            <c:size val="5"/>
            <c:spPr>
              <a:solidFill>
                <a:srgbClr val="000000"/>
              </a:solidFill>
              <a:ln>
                <a:solidFill>
                  <a:srgbClr val="000000"/>
                </a:solidFill>
                <a:prstDash val="solid"/>
              </a:ln>
            </c:spPr>
          </c:marker>
          <c:dLbls>
            <c:dLbl>
              <c:idx val="0"/>
              <c:tx>
                <c:rich>
                  <a:bodyPr/>
                  <a:lstStyle/>
                  <a:p>
                    <a:pPr>
                      <a:defRPr sz="1000" b="0" i="0" u="none" strike="noStrike" baseline="0">
                        <a:solidFill>
                          <a:srgbClr val="000000"/>
                        </a:solidFill>
                        <a:latin typeface="Geneva"/>
                        <a:ea typeface="Geneva"/>
                        <a:cs typeface="Geneva"/>
                      </a:defRPr>
                    </a:pPr>
                    <a:r>
                      <a:rPr lang="en-US"/>
                      <a:t>99%</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3A9-854E-B942-65C496DBFA1D}"/>
                </c:ext>
              </c:extLst>
            </c:dLbl>
            <c:dLbl>
              <c:idx val="1"/>
              <c:tx>
                <c:rich>
                  <a:bodyPr/>
                  <a:lstStyle/>
                  <a:p>
                    <a:pPr>
                      <a:defRPr sz="1000" b="0" i="0" u="none" strike="noStrike" baseline="0">
                        <a:solidFill>
                          <a:srgbClr val="000000"/>
                        </a:solidFill>
                        <a:latin typeface="Geneva"/>
                        <a:ea typeface="Geneva"/>
                        <a:cs typeface="Geneva"/>
                      </a:defRPr>
                    </a:pPr>
                    <a:r>
                      <a:rPr lang="en-US"/>
                      <a:t>98%</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F3A9-854E-B942-65C496DBFA1D}"/>
                </c:ext>
              </c:extLst>
            </c:dLbl>
            <c:dLbl>
              <c:idx val="2"/>
              <c:tx>
                <c:rich>
                  <a:bodyPr/>
                  <a:lstStyle/>
                  <a:p>
                    <a:pPr>
                      <a:defRPr sz="1000" b="0" i="0" u="none" strike="noStrike" baseline="0">
                        <a:solidFill>
                          <a:srgbClr val="000000"/>
                        </a:solidFill>
                        <a:latin typeface="Geneva"/>
                        <a:ea typeface="Geneva"/>
                        <a:cs typeface="Geneva"/>
                      </a:defRPr>
                    </a:pPr>
                    <a:r>
                      <a:rPr lang="en-US"/>
                      <a:t>95%</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3A9-854E-B942-65C496DBFA1D}"/>
                </c:ext>
              </c:extLst>
            </c:dLbl>
            <c:dLbl>
              <c:idx val="3"/>
              <c:tx>
                <c:rich>
                  <a:bodyPr/>
                  <a:lstStyle/>
                  <a:p>
                    <a:pPr>
                      <a:defRPr sz="1000" b="0" i="0" u="none" strike="noStrike" baseline="0">
                        <a:solidFill>
                          <a:srgbClr val="000000"/>
                        </a:solidFill>
                        <a:latin typeface="Geneva"/>
                        <a:ea typeface="Geneva"/>
                        <a:cs typeface="Geneva"/>
                      </a:defRPr>
                    </a:pPr>
                    <a:r>
                      <a:rPr lang="en-US"/>
                      <a:t>90%</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3A9-854E-B942-65C496DBFA1D}"/>
                </c:ext>
              </c:extLst>
            </c:dLbl>
            <c:dLbl>
              <c:idx val="4"/>
              <c:tx>
                <c:rich>
                  <a:bodyPr/>
                  <a:lstStyle/>
                  <a:p>
                    <a:pPr>
                      <a:defRPr sz="1000" b="0" i="0" u="none" strike="noStrike" baseline="0">
                        <a:solidFill>
                          <a:srgbClr val="000000"/>
                        </a:solidFill>
                        <a:latin typeface="Geneva"/>
                        <a:ea typeface="Geneva"/>
                        <a:cs typeface="Geneva"/>
                      </a:defRPr>
                    </a:pPr>
                    <a:r>
                      <a:rPr lang="en-US"/>
                      <a:t>84%</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3A9-854E-B942-65C496DBFA1D}"/>
                </c:ext>
              </c:extLst>
            </c:dLbl>
            <c:dLbl>
              <c:idx val="5"/>
              <c:tx>
                <c:rich>
                  <a:bodyPr/>
                  <a:lstStyle/>
                  <a:p>
                    <a:pPr>
                      <a:defRPr sz="1000" b="0" i="0" u="none" strike="noStrike" baseline="0">
                        <a:solidFill>
                          <a:srgbClr val="000000"/>
                        </a:solidFill>
                        <a:latin typeface="Geneva"/>
                        <a:ea typeface="Geneva"/>
                        <a:cs typeface="Geneva"/>
                      </a:defRPr>
                    </a:pPr>
                    <a:r>
                      <a:rPr lang="en-US"/>
                      <a:t>75%</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3A9-854E-B942-65C496DBFA1D}"/>
                </c:ext>
              </c:extLst>
            </c:dLbl>
            <c:dLbl>
              <c:idx val="6"/>
              <c:tx>
                <c:rich>
                  <a:bodyPr/>
                  <a:lstStyle/>
                  <a:p>
                    <a:pPr>
                      <a:defRPr sz="1000" b="0" i="0" u="none" strike="noStrike" baseline="0">
                        <a:solidFill>
                          <a:srgbClr val="000000"/>
                        </a:solidFill>
                        <a:latin typeface="Geneva"/>
                        <a:ea typeface="Geneva"/>
                        <a:cs typeface="Geneva"/>
                      </a:defRPr>
                    </a:pPr>
                    <a:r>
                      <a:rPr lang="en-US"/>
                      <a:t>50%</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3A9-854E-B942-65C496DBFA1D}"/>
                </c:ext>
              </c:extLst>
            </c:dLbl>
            <c:dLbl>
              <c:idx val="7"/>
              <c:tx>
                <c:rich>
                  <a:bodyPr/>
                  <a:lstStyle/>
                  <a:p>
                    <a:pPr>
                      <a:defRPr sz="1000" b="0" i="0" u="none" strike="noStrike" baseline="0">
                        <a:solidFill>
                          <a:srgbClr val="000000"/>
                        </a:solidFill>
                        <a:latin typeface="Geneva"/>
                        <a:ea typeface="Geneva"/>
                        <a:cs typeface="Geneva"/>
                      </a:defRPr>
                    </a:pPr>
                    <a:r>
                      <a:rPr lang="en-US"/>
                      <a:t>25%</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3A9-854E-B942-65C496DBFA1D}"/>
                </c:ext>
              </c:extLst>
            </c:dLbl>
            <c:dLbl>
              <c:idx val="8"/>
              <c:tx>
                <c:rich>
                  <a:bodyPr/>
                  <a:lstStyle/>
                  <a:p>
                    <a:pPr>
                      <a:defRPr sz="1000" b="0" i="0" u="none" strike="noStrike" baseline="0">
                        <a:solidFill>
                          <a:srgbClr val="000000"/>
                        </a:solidFill>
                        <a:latin typeface="Geneva"/>
                        <a:ea typeface="Geneva"/>
                        <a:cs typeface="Geneva"/>
                      </a:defRPr>
                    </a:pPr>
                    <a:r>
                      <a:rPr lang="en-US"/>
                      <a:t>16%</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3A9-854E-B942-65C496DBFA1D}"/>
                </c:ext>
              </c:extLst>
            </c:dLbl>
            <c:dLbl>
              <c:idx val="9"/>
              <c:tx>
                <c:rich>
                  <a:bodyPr/>
                  <a:lstStyle/>
                  <a:p>
                    <a:pPr>
                      <a:defRPr sz="1000" b="0" i="0" u="none" strike="noStrike" baseline="0">
                        <a:solidFill>
                          <a:srgbClr val="000000"/>
                        </a:solidFill>
                        <a:latin typeface="Geneva"/>
                        <a:ea typeface="Geneva"/>
                        <a:cs typeface="Geneva"/>
                      </a:defRPr>
                    </a:pPr>
                    <a:r>
                      <a:rPr lang="en-US"/>
                      <a:t>10%</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3A9-854E-B942-65C496DBFA1D}"/>
                </c:ext>
              </c:extLst>
            </c:dLbl>
            <c:dLbl>
              <c:idx val="10"/>
              <c:tx>
                <c:rich>
                  <a:bodyPr/>
                  <a:lstStyle/>
                  <a:p>
                    <a:pPr>
                      <a:defRPr sz="1000" b="0" i="0" u="none" strike="noStrike" baseline="0">
                        <a:solidFill>
                          <a:srgbClr val="000000"/>
                        </a:solidFill>
                        <a:latin typeface="Geneva"/>
                        <a:ea typeface="Geneva"/>
                        <a:cs typeface="Geneva"/>
                      </a:defRPr>
                    </a:pPr>
                    <a:r>
                      <a:rPr lang="en-US"/>
                      <a:t>5%</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3A9-854E-B942-65C496DBFA1D}"/>
                </c:ext>
              </c:extLst>
            </c:dLbl>
            <c:dLbl>
              <c:idx val="11"/>
              <c:tx>
                <c:rich>
                  <a:bodyPr/>
                  <a:lstStyle/>
                  <a:p>
                    <a:pPr>
                      <a:defRPr sz="1000" b="0" i="0" u="none" strike="noStrike" baseline="0">
                        <a:solidFill>
                          <a:srgbClr val="000000"/>
                        </a:solidFill>
                        <a:latin typeface="Geneva"/>
                        <a:ea typeface="Geneva"/>
                        <a:cs typeface="Geneva"/>
                      </a:defRPr>
                    </a:pPr>
                    <a:r>
                      <a:rPr lang="en-US"/>
                      <a:t>2%</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3A9-854E-B942-65C496DBFA1D}"/>
                </c:ext>
              </c:extLst>
            </c:dLbl>
            <c:dLbl>
              <c:idx val="12"/>
              <c:tx>
                <c:rich>
                  <a:bodyPr/>
                  <a:lstStyle/>
                  <a:p>
                    <a:pPr>
                      <a:defRPr sz="1000" b="0" i="0" u="none" strike="noStrike" baseline="0">
                        <a:solidFill>
                          <a:srgbClr val="000000"/>
                        </a:solidFill>
                        <a:latin typeface="Geneva"/>
                        <a:ea typeface="Geneva"/>
                        <a:cs typeface="Geneva"/>
                      </a:defRPr>
                    </a:pPr>
                    <a:r>
                      <a:rPr lang="en-US"/>
                      <a:t>1%</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3A9-854E-B942-65C496DBFA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STAT!$G$9:$G$21</c:f>
              <c:numCache>
                <c:formatCode>0</c:formatCode>
                <c:ptCount val="13"/>
                <c:pt idx="0">
                  <c:v>0.1</c:v>
                </c:pt>
                <c:pt idx="1">
                  <c:v>0.1</c:v>
                </c:pt>
                <c:pt idx="2">
                  <c:v>0.1</c:v>
                </c:pt>
                <c:pt idx="3">
                  <c:v>0.1</c:v>
                </c:pt>
                <c:pt idx="4">
                  <c:v>0.1</c:v>
                </c:pt>
                <c:pt idx="5">
                  <c:v>0.1</c:v>
                </c:pt>
                <c:pt idx="6">
                  <c:v>0.1</c:v>
                </c:pt>
                <c:pt idx="7">
                  <c:v>0.1</c:v>
                </c:pt>
                <c:pt idx="8">
                  <c:v>0.1</c:v>
                </c:pt>
                <c:pt idx="9">
                  <c:v>0.1</c:v>
                </c:pt>
                <c:pt idx="10">
                  <c:v>0.1</c:v>
                </c:pt>
                <c:pt idx="11">
                  <c:v>0.1</c:v>
                </c:pt>
                <c:pt idx="12">
                  <c:v>0.1</c:v>
                </c:pt>
              </c:numCache>
            </c:numRef>
          </c:xVal>
          <c:yVal>
            <c:numRef>
              <c:f>STAT!$H$9:$H$21</c:f>
              <c:numCache>
                <c:formatCode>General</c:formatCode>
                <c:ptCount val="13"/>
                <c:pt idx="0">
                  <c:v>7.33</c:v>
                </c:pt>
                <c:pt idx="1">
                  <c:v>7.05</c:v>
                </c:pt>
                <c:pt idx="2">
                  <c:v>6.6449999999999996</c:v>
                </c:pt>
                <c:pt idx="3">
                  <c:v>6.28</c:v>
                </c:pt>
                <c:pt idx="4">
                  <c:v>6</c:v>
                </c:pt>
                <c:pt idx="5">
                  <c:v>5.67</c:v>
                </c:pt>
                <c:pt idx="6">
                  <c:v>5</c:v>
                </c:pt>
                <c:pt idx="7">
                  <c:v>4.33</c:v>
                </c:pt>
                <c:pt idx="8">
                  <c:v>4</c:v>
                </c:pt>
                <c:pt idx="9">
                  <c:v>3.7199999999999998</c:v>
                </c:pt>
                <c:pt idx="10">
                  <c:v>3.355</c:v>
                </c:pt>
                <c:pt idx="11">
                  <c:v>2.95</c:v>
                </c:pt>
                <c:pt idx="12">
                  <c:v>2.67</c:v>
                </c:pt>
              </c:numCache>
            </c:numRef>
          </c:yVal>
          <c:smooth val="0"/>
          <c:extLst>
            <c:ext xmlns:c16="http://schemas.microsoft.com/office/drawing/2014/chart" uri="{C3380CC4-5D6E-409C-BE32-E72D297353CC}">
              <c16:uniqueId val="{0000000D-F3A9-854E-B942-65C496DBFA1D}"/>
            </c:ext>
          </c:extLst>
        </c:ser>
        <c:ser>
          <c:idx val="1"/>
          <c:order val="1"/>
          <c:spPr>
            <a:ln w="12700">
              <a:solidFill>
                <a:srgbClr val="00FF00"/>
              </a:solidFill>
              <a:prstDash val="solid"/>
            </a:ln>
          </c:spPr>
          <c:marker>
            <c:symbol val="none"/>
          </c:marker>
          <c:xVal>
            <c:numRef>
              <c:f>STAT!$AE$118:$AE$119</c:f>
              <c:numCache>
                <c:formatCode>General</c:formatCode>
                <c:ptCount val="2"/>
                <c:pt idx="0">
                  <c:v>6.2304656525512248E-4</c:v>
                </c:pt>
                <c:pt idx="1">
                  <c:v>0.10578767137082533</c:v>
                </c:pt>
              </c:numCache>
            </c:numRef>
          </c:xVal>
          <c:yVal>
            <c:numRef>
              <c:f>STAT!$AF$118:$AF$119</c:f>
              <c:numCache>
                <c:formatCode>General</c:formatCode>
                <c:ptCount val="2"/>
                <c:pt idx="0">
                  <c:v>2.5</c:v>
                </c:pt>
                <c:pt idx="1">
                  <c:v>7.33</c:v>
                </c:pt>
              </c:numCache>
            </c:numRef>
          </c:yVal>
          <c:smooth val="0"/>
          <c:extLst>
            <c:ext xmlns:c16="http://schemas.microsoft.com/office/drawing/2014/chart" uri="{C3380CC4-5D6E-409C-BE32-E72D297353CC}">
              <c16:uniqueId val="{0000000E-F3A9-854E-B942-65C496DBFA1D}"/>
            </c:ext>
          </c:extLst>
        </c:ser>
        <c:ser>
          <c:idx val="2"/>
          <c:order val="2"/>
          <c:spPr>
            <a:ln w="19050">
              <a:noFill/>
            </a:ln>
          </c:spPr>
          <c:marker>
            <c:symbol val="square"/>
            <c:size val="5"/>
            <c:spPr>
              <a:solidFill>
                <a:srgbClr val="0000FF"/>
              </a:solidFill>
              <a:ln>
                <a:solidFill>
                  <a:srgbClr val="000000"/>
                </a:solidFill>
                <a:prstDash val="solid"/>
              </a:ln>
            </c:spPr>
          </c:marker>
          <c:xVal>
            <c:numRef>
              <c:f>STAT!$Q$114:$Q$163</c:f>
              <c:numCache>
                <c:formatCode>General</c:formatCode>
                <c:ptCount val="50"/>
                <c:pt idx="0">
                  <c:v>3.0000000000000001E-3</c:v>
                </c:pt>
                <c:pt idx="1">
                  <c:v>3.2000000000000002E-3</c:v>
                </c:pt>
                <c:pt idx="2">
                  <c:v>4.7999999999999996E-3</c:v>
                </c:pt>
                <c:pt idx="3">
                  <c:v>6.3664274045222491E-3</c:v>
                </c:pt>
                <c:pt idx="4">
                  <c:v>6.3664274045222491E-3</c:v>
                </c:pt>
                <c:pt idx="5">
                  <c:v>6.3664274045222491E-3</c:v>
                </c:pt>
                <c:pt idx="6">
                  <c:v>6.8561525894854994E-3</c:v>
                </c:pt>
                <c:pt idx="7">
                  <c:v>1.6500000000000001E-2</c:v>
                </c:pt>
                <c:pt idx="8">
                  <c:v>1.9E-2</c:v>
                </c:pt>
                <c:pt idx="9">
                  <c:v>3.1399999999999997E-2</c:v>
                </c:pt>
                <c:pt idx="10">
                  <c:v>3.4000000000000002E-2</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xVal>
          <c:yVal>
            <c:numRef>
              <c:f>STAT!$U$114:$U$163</c:f>
              <c:numCache>
                <c:formatCode>General</c:formatCode>
                <c:ptCount val="50"/>
                <c:pt idx="0">
                  <c:v>3.6170058728993606</c:v>
                </c:pt>
                <c:pt idx="1">
                  <c:v>4.0325784338982995</c:v>
                </c:pt>
                <c:pt idx="2">
                  <c:v>4.3255102498039184</c:v>
                </c:pt>
                <c:pt idx="3">
                  <c:v>4.5692727007045422</c:v>
                </c:pt>
                <c:pt idx="4">
                  <c:v>4.7895716057520756</c:v>
                </c:pt>
                <c:pt idx="5">
                  <c:v>5</c:v>
                </c:pt>
                <c:pt idx="6">
                  <c:v>5.2104283942479253</c:v>
                </c:pt>
                <c:pt idx="7">
                  <c:v>5.4307272992954578</c:v>
                </c:pt>
                <c:pt idx="8">
                  <c:v>5.6744897501960816</c:v>
                </c:pt>
                <c:pt idx="9">
                  <c:v>5.9674215661017005</c:v>
                </c:pt>
                <c:pt idx="10">
                  <c:v>6.3829941271006376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F-F3A9-854E-B942-65C496DBFA1D}"/>
            </c:ext>
          </c:extLst>
        </c:ser>
        <c:dLbls>
          <c:showLegendKey val="0"/>
          <c:showVal val="0"/>
          <c:showCatName val="0"/>
          <c:showSerName val="0"/>
          <c:showPercent val="0"/>
          <c:showBubbleSize val="0"/>
        </c:dLbls>
        <c:axId val="294971087"/>
        <c:axId val="1"/>
      </c:scatterChart>
      <c:valAx>
        <c:axId val="294971087"/>
        <c:scaling>
          <c:logBase val="10"/>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strRef>
              <c:f>Lan!$E$167</c:f>
              <c:strCache>
                <c:ptCount val="1"/>
                <c:pt idx="0">
                  <c:v>Konsentrasjon</c:v>
                </c:pt>
              </c:strCache>
            </c:strRef>
          </c:tx>
          <c:layout>
            <c:manualLayout>
              <c:xMode val="edge"/>
              <c:yMode val="edge"/>
              <c:x val="0.41117949724008168"/>
              <c:y val="0.96114468048809842"/>
            </c:manualLayout>
          </c:layout>
          <c:overlay val="0"/>
          <c:spPr>
            <a:noFill/>
            <a:ln w="25400">
              <a:noFill/>
            </a:ln>
          </c:spPr>
          <c:txPr>
            <a:bodyPr/>
            <a:lstStyle/>
            <a:p>
              <a:pPr>
                <a:defRPr sz="1000" b="1" i="0" u="none" strike="noStrike" baseline="0">
                  <a:solidFill>
                    <a:srgbClr val="000000"/>
                  </a:solidFill>
                  <a:latin typeface="Geneva"/>
                  <a:ea typeface="Geneva"/>
                  <a:cs typeface="Geneva"/>
                </a:defRPr>
              </a:pPr>
              <a:endParaRPr lang="en-NO"/>
            </a:p>
          </c:txPr>
        </c:title>
        <c:numFmt formatCode="0" sourceLinked="1"/>
        <c:majorTickMark val="cross"/>
        <c:min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Geneva"/>
                <a:ea typeface="Geneva"/>
                <a:cs typeface="Geneva"/>
              </a:defRPr>
            </a:pPr>
            <a:endParaRPr lang="en-NO"/>
          </a:p>
        </c:txPr>
        <c:crossAx val="1"/>
        <c:crossesAt val="2.5"/>
        <c:crossBetween val="midCat"/>
      </c:valAx>
      <c:valAx>
        <c:axId val="1"/>
        <c:scaling>
          <c:orientation val="minMax"/>
          <c:min val="2.5"/>
        </c:scaling>
        <c:delete val="0"/>
        <c:axPos val="r"/>
        <c:majorGridlines>
          <c:spPr>
            <a:ln w="3175">
              <a:solidFill>
                <a:srgbClr val="000000"/>
              </a:solidFill>
              <a:prstDash val="solid"/>
            </a:ln>
          </c:spPr>
        </c:majorGridlines>
        <c:numFmt formatCode="General" sourceLinked="1"/>
        <c:majorTickMark val="cross"/>
        <c:minorTickMark val="cross"/>
        <c:tickLblPos val="none"/>
        <c:spPr>
          <a:ln w="3175">
            <a:solidFill>
              <a:srgbClr val="000000"/>
            </a:solidFill>
            <a:prstDash val="solid"/>
          </a:ln>
        </c:spPr>
        <c:crossAx val="294971087"/>
        <c:crosses val="max"/>
        <c:crossBetween val="midCat"/>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Geneva"/>
          <a:ea typeface="Geneva"/>
          <a:cs typeface="Geneva"/>
        </a:defRPr>
      </a:pPr>
      <a:endParaRPr lang="en-NO"/>
    </a:p>
  </c:txPr>
  <c:printSettings>
    <c:headerFooter alignWithMargins="0">
      <c:oddFooter>&amp;CPage &amp;P</c:oddFooter>
    </c:headerFooter>
    <c:pageMargins b="1" l="0.75" r="0.7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Lan!$E$154</c:f>
          <c:strCache>
            <c:ptCount val="1"/>
            <c:pt idx="0">
              <c:v>Log-normalfordelingsplott</c:v>
            </c:pt>
          </c:strCache>
        </c:strRef>
      </c:tx>
      <c:layout>
        <c:manualLayout>
          <c:xMode val="edge"/>
          <c:yMode val="edge"/>
          <c:x val="0.33265548183066612"/>
          <c:y val="3.7546598834953128E-2"/>
        </c:manualLayout>
      </c:layout>
      <c:overlay val="0"/>
      <c:spPr>
        <a:noFill/>
        <a:ln w="25400">
          <a:noFill/>
        </a:ln>
      </c:spPr>
      <c:txPr>
        <a:bodyPr/>
        <a:lstStyle/>
        <a:p>
          <a:pPr>
            <a:defRPr sz="1200" b="1" i="0" u="none" strike="noStrike" baseline="0">
              <a:solidFill>
                <a:srgbClr val="000000"/>
              </a:solidFill>
              <a:latin typeface="Geneva"/>
              <a:ea typeface="Geneva"/>
              <a:cs typeface="Geneva"/>
            </a:defRPr>
          </a:pPr>
          <a:endParaRPr lang="en-NO"/>
        </a:p>
      </c:txPr>
    </c:title>
    <c:autoTitleDeleted val="0"/>
    <c:plotArea>
      <c:layout>
        <c:manualLayout>
          <c:layoutTarget val="inner"/>
          <c:xMode val="edge"/>
          <c:yMode val="edge"/>
          <c:x val="8.7138691223990344E-2"/>
          <c:y val="0.10603204862616243"/>
          <c:w val="0.89153795700230776"/>
          <c:h val="0.79870528831065024"/>
        </c:manualLayout>
      </c:layout>
      <c:scatterChart>
        <c:scatterStyle val="lineMarker"/>
        <c:varyColors val="0"/>
        <c:ser>
          <c:idx val="5"/>
          <c:order val="0"/>
          <c:spPr>
            <a:ln w="12700">
              <a:solidFill>
                <a:srgbClr val="FF0000"/>
              </a:solidFill>
              <a:prstDash val="solid"/>
            </a:ln>
          </c:spPr>
          <c:marker>
            <c:symbol val="none"/>
          </c:marker>
          <c:xVal>
            <c:numRef>
              <c:f>STAT!$D$201:$D$300</c:f>
              <c:numCache>
                <c:formatCode>General</c:formatCode>
                <c:ptCount val="100"/>
                <c:pt idx="0">
                  <c:v>1.2546650875723188E-3</c:v>
                </c:pt>
                <c:pt idx="1">
                  <c:v>2.5093301751446377E-3</c:v>
                </c:pt>
                <c:pt idx="2">
                  <c:v>3.7639952627169567E-3</c:v>
                </c:pt>
                <c:pt idx="3">
                  <c:v>5.0186603502892753E-3</c:v>
                </c:pt>
                <c:pt idx="4">
                  <c:v>6.2733254378615939E-3</c:v>
                </c:pt>
                <c:pt idx="5">
                  <c:v>7.5279905254339126E-3</c:v>
                </c:pt>
                <c:pt idx="6">
                  <c:v>8.7826556130062312E-3</c:v>
                </c:pt>
                <c:pt idx="7">
                  <c:v>1.0037320700578551E-2</c:v>
                </c:pt>
                <c:pt idx="8">
                  <c:v>1.129198578815087E-2</c:v>
                </c:pt>
                <c:pt idx="9">
                  <c:v>1.254665087572319E-2</c:v>
                </c:pt>
                <c:pt idx="10">
                  <c:v>1.3801315963295509E-2</c:v>
                </c:pt>
                <c:pt idx="11">
                  <c:v>1.5055981050867829E-2</c:v>
                </c:pt>
                <c:pt idx="12">
                  <c:v>1.6310646138440146E-2</c:v>
                </c:pt>
                <c:pt idx="13">
                  <c:v>1.7565311226012466E-2</c:v>
                </c:pt>
                <c:pt idx="14">
                  <c:v>1.8819976313584785E-2</c:v>
                </c:pt>
                <c:pt idx="15">
                  <c:v>2.0074641401157105E-2</c:v>
                </c:pt>
                <c:pt idx="16">
                  <c:v>2.1329306488729424E-2</c:v>
                </c:pt>
                <c:pt idx="17">
                  <c:v>2.2583971576301744E-2</c:v>
                </c:pt>
                <c:pt idx="18">
                  <c:v>2.3838636663874063E-2</c:v>
                </c:pt>
                <c:pt idx="19">
                  <c:v>2.5093301751446383E-2</c:v>
                </c:pt>
                <c:pt idx="20">
                  <c:v>2.6347966839018702E-2</c:v>
                </c:pt>
                <c:pt idx="21">
                  <c:v>2.7602631926591022E-2</c:v>
                </c:pt>
                <c:pt idx="22">
                  <c:v>2.8857297014163341E-2</c:v>
                </c:pt>
                <c:pt idx="23">
                  <c:v>3.0111962101735661E-2</c:v>
                </c:pt>
                <c:pt idx="24">
                  <c:v>3.136662718930798E-2</c:v>
                </c:pt>
                <c:pt idx="25">
                  <c:v>3.26212922768803E-2</c:v>
                </c:pt>
                <c:pt idx="26">
                  <c:v>3.3875957364452619E-2</c:v>
                </c:pt>
                <c:pt idx="27">
                  <c:v>3.5130622452024939E-2</c:v>
                </c:pt>
                <c:pt idx="28">
                  <c:v>3.6385287539597258E-2</c:v>
                </c:pt>
                <c:pt idx="29">
                  <c:v>3.7639952627169578E-2</c:v>
                </c:pt>
                <c:pt idx="30">
                  <c:v>3.8894617714741897E-2</c:v>
                </c:pt>
                <c:pt idx="31">
                  <c:v>4.0149282802314216E-2</c:v>
                </c:pt>
                <c:pt idx="32">
                  <c:v>4.1403947889886536E-2</c:v>
                </c:pt>
                <c:pt idx="33">
                  <c:v>4.2658612977458855E-2</c:v>
                </c:pt>
                <c:pt idx="34">
                  <c:v>4.3913278065031175E-2</c:v>
                </c:pt>
                <c:pt idx="35">
                  <c:v>4.5167943152603494E-2</c:v>
                </c:pt>
                <c:pt idx="36">
                  <c:v>4.6422608240175814E-2</c:v>
                </c:pt>
                <c:pt idx="37">
                  <c:v>4.7677273327748133E-2</c:v>
                </c:pt>
                <c:pt idx="38">
                  <c:v>4.8931938415320453E-2</c:v>
                </c:pt>
                <c:pt idx="39">
                  <c:v>5.0186603502892772E-2</c:v>
                </c:pt>
                <c:pt idx="40">
                  <c:v>5.1441268590465092E-2</c:v>
                </c:pt>
                <c:pt idx="41">
                  <c:v>5.2695933678037411E-2</c:v>
                </c:pt>
                <c:pt idx="42">
                  <c:v>5.3950598765609731E-2</c:v>
                </c:pt>
                <c:pt idx="43">
                  <c:v>5.520526385318205E-2</c:v>
                </c:pt>
                <c:pt idx="44">
                  <c:v>5.645992894075437E-2</c:v>
                </c:pt>
                <c:pt idx="45">
                  <c:v>5.7714594028326689E-2</c:v>
                </c:pt>
                <c:pt idx="46">
                  <c:v>5.8969259115899009E-2</c:v>
                </c:pt>
                <c:pt idx="47">
                  <c:v>6.0223924203471328E-2</c:v>
                </c:pt>
                <c:pt idx="48">
                  <c:v>6.1478589291043648E-2</c:v>
                </c:pt>
                <c:pt idx="49">
                  <c:v>6.273325437861596E-2</c:v>
                </c:pt>
                <c:pt idx="50">
                  <c:v>6.3987919466188273E-2</c:v>
                </c:pt>
                <c:pt idx="51">
                  <c:v>6.5242584553760585E-2</c:v>
                </c:pt>
                <c:pt idx="52">
                  <c:v>6.6497249641332898E-2</c:v>
                </c:pt>
                <c:pt idx="53">
                  <c:v>6.775191472890521E-2</c:v>
                </c:pt>
                <c:pt idx="54">
                  <c:v>6.9006579816477523E-2</c:v>
                </c:pt>
                <c:pt idx="55">
                  <c:v>7.0261244904049835E-2</c:v>
                </c:pt>
                <c:pt idx="56">
                  <c:v>7.1515909991622148E-2</c:v>
                </c:pt>
                <c:pt idx="57">
                  <c:v>7.2770575079194461E-2</c:v>
                </c:pt>
                <c:pt idx="58">
                  <c:v>7.4025240166766773E-2</c:v>
                </c:pt>
                <c:pt idx="59">
                  <c:v>7.5279905254339086E-2</c:v>
                </c:pt>
                <c:pt idx="60">
                  <c:v>7.6534570341911398E-2</c:v>
                </c:pt>
                <c:pt idx="61">
                  <c:v>7.7789235429483711E-2</c:v>
                </c:pt>
                <c:pt idx="62">
                  <c:v>7.9043900517056023E-2</c:v>
                </c:pt>
                <c:pt idx="63">
                  <c:v>8.0298565604628336E-2</c:v>
                </c:pt>
                <c:pt idx="64">
                  <c:v>8.1553230692200648E-2</c:v>
                </c:pt>
                <c:pt idx="65">
                  <c:v>8.2807895779772961E-2</c:v>
                </c:pt>
                <c:pt idx="66">
                  <c:v>8.4062560867345273E-2</c:v>
                </c:pt>
                <c:pt idx="67">
                  <c:v>8.5317225954917586E-2</c:v>
                </c:pt>
                <c:pt idx="68">
                  <c:v>8.6571891042489899E-2</c:v>
                </c:pt>
                <c:pt idx="69">
                  <c:v>8.7826556130062211E-2</c:v>
                </c:pt>
                <c:pt idx="70">
                  <c:v>8.9081221217634524E-2</c:v>
                </c:pt>
                <c:pt idx="71">
                  <c:v>9.0335886305206836E-2</c:v>
                </c:pt>
                <c:pt idx="72">
                  <c:v>9.1590551392779149E-2</c:v>
                </c:pt>
                <c:pt idx="73">
                  <c:v>9.2845216480351461E-2</c:v>
                </c:pt>
                <c:pt idx="74">
                  <c:v>9.4099881567923774E-2</c:v>
                </c:pt>
                <c:pt idx="75">
                  <c:v>9.5354546655496086E-2</c:v>
                </c:pt>
                <c:pt idx="76">
                  <c:v>9.6609211743068399E-2</c:v>
                </c:pt>
                <c:pt idx="77">
                  <c:v>9.7863876830640711E-2</c:v>
                </c:pt>
                <c:pt idx="78">
                  <c:v>9.9118541918213024E-2</c:v>
                </c:pt>
                <c:pt idx="79">
                  <c:v>0.10037320700578534</c:v>
                </c:pt>
                <c:pt idx="80">
                  <c:v>0.10162787209335765</c:v>
                </c:pt>
                <c:pt idx="81">
                  <c:v>0.10288253718092996</c:v>
                </c:pt>
                <c:pt idx="82">
                  <c:v>0.10413720226850227</c:v>
                </c:pt>
                <c:pt idx="83">
                  <c:v>0.10539186735607459</c:v>
                </c:pt>
                <c:pt idx="84">
                  <c:v>0.1066465324436469</c:v>
                </c:pt>
                <c:pt idx="85">
                  <c:v>0.10790119753121921</c:v>
                </c:pt>
                <c:pt idx="86">
                  <c:v>0.10915586261879152</c:v>
                </c:pt>
                <c:pt idx="87">
                  <c:v>0.11041052770636384</c:v>
                </c:pt>
                <c:pt idx="88">
                  <c:v>0.11166519279393615</c:v>
                </c:pt>
                <c:pt idx="89">
                  <c:v>0.11291985788150846</c:v>
                </c:pt>
                <c:pt idx="90">
                  <c:v>0.11417452296908077</c:v>
                </c:pt>
                <c:pt idx="91">
                  <c:v>0.11542918805665309</c:v>
                </c:pt>
                <c:pt idx="92">
                  <c:v>0.1166838531442254</c:v>
                </c:pt>
                <c:pt idx="93">
                  <c:v>0.11793851823179771</c:v>
                </c:pt>
                <c:pt idx="94">
                  <c:v>0.11919318331937002</c:v>
                </c:pt>
                <c:pt idx="95">
                  <c:v>0.12044784840694234</c:v>
                </c:pt>
                <c:pt idx="96">
                  <c:v>0.12170251349451465</c:v>
                </c:pt>
                <c:pt idx="97">
                  <c:v>0.12295717858208696</c:v>
                </c:pt>
                <c:pt idx="98">
                  <c:v>0.12421184366965927</c:v>
                </c:pt>
                <c:pt idx="99">
                  <c:v>0.12546650875723159</c:v>
                </c:pt>
              </c:numCache>
            </c:numRef>
          </c:xVal>
          <c:yVal>
            <c:numRef>
              <c:f>STAT!$E$201:$E$300</c:f>
              <c:numCache>
                <c:formatCode>General</c:formatCode>
                <c:ptCount val="100"/>
                <c:pt idx="0">
                  <c:v>39.155102587836744</c:v>
                </c:pt>
                <c:pt idx="1">
                  <c:v>59.221056673897927</c:v>
                </c:pt>
                <c:pt idx="2">
                  <c:v>61.850450607770959</c:v>
                </c:pt>
                <c:pt idx="3">
                  <c:v>58.36087301223607</c:v>
                </c:pt>
                <c:pt idx="4">
                  <c:v>53.026082049535162</c:v>
                </c:pt>
                <c:pt idx="5">
                  <c:v>47.441761887034666</c:v>
                </c:pt>
                <c:pt idx="6">
                  <c:v>42.194644944531674</c:v>
                </c:pt>
                <c:pt idx="7">
                  <c:v>37.473585533489818</c:v>
                </c:pt>
                <c:pt idx="8">
                  <c:v>33.307322610230855</c:v>
                </c:pt>
                <c:pt idx="9">
                  <c:v>29.662025992547882</c:v>
                </c:pt>
                <c:pt idx="10">
                  <c:v>26.48260640334723</c:v>
                </c:pt>
                <c:pt idx="11">
                  <c:v>23.710275075935144</c:v>
                </c:pt>
                <c:pt idx="12">
                  <c:v>21.289713043084401</c:v>
                </c:pt>
                <c:pt idx="13">
                  <c:v>19.171617417313879</c:v>
                </c:pt>
                <c:pt idx="14">
                  <c:v>17.31320473926128</c:v>
                </c:pt>
                <c:pt idx="15">
                  <c:v>15.677851985885667</c:v>
                </c:pt>
                <c:pt idx="16">
                  <c:v>14.234419517534311</c:v>
                </c:pt>
                <c:pt idx="17">
                  <c:v>12.956503611792856</c:v>
                </c:pt>
                <c:pt idx="18">
                  <c:v>11.821725951085739</c:v>
                </c:pt>
                <c:pt idx="19">
                  <c:v>10.81110099382734</c:v>
                </c:pt>
                <c:pt idx="20">
                  <c:v>9.9084912241593983</c:v>
                </c:pt>
                <c:pt idx="21">
                  <c:v>9.1001465606150838</c:v>
                </c:pt>
                <c:pt idx="22">
                  <c:v>8.3743188203165762</c:v>
                </c:pt>
                <c:pt idx="23">
                  <c:v>7.7209407048632901</c:v>
                </c:pt>
                <c:pt idx="24">
                  <c:v>7.1313591302782715</c:v>
                </c:pt>
                <c:pt idx="25">
                  <c:v>6.5981137996311565</c:v>
                </c:pt>
                <c:pt idx="26">
                  <c:v>6.1147531989380743</c:v>
                </c:pt>
                <c:pt idx="27">
                  <c:v>5.6756814482593532</c:v>
                </c:pt>
                <c:pt idx="28">
                  <c:v>5.2760305630146558</c:v>
                </c:pt>
                <c:pt idx="29">
                  <c:v>4.9115536457298479</c:v>
                </c:pt>
                <c:pt idx="30">
                  <c:v>4.5785353377077822</c:v>
                </c:pt>
                <c:pt idx="31">
                  <c:v>4.2737165288204144</c:v>
                </c:pt>
                <c:pt idx="32">
                  <c:v>3.9942308713879289</c:v>
                </c:pt>
                <c:pt idx="33">
                  <c:v>3.7375510905835019</c:v>
                </c:pt>
                <c:pt idx="34">
                  <c:v>3.5014434467818285</c:v>
                </c:pt>
                <c:pt idx="35">
                  <c:v>3.2839290000984089</c:v>
                </c:pt>
                <c:pt idx="36">
                  <c:v>3.0832505668896664</c:v>
                </c:pt>
                <c:pt idx="37">
                  <c:v>2.8978444527703653</c:v>
                </c:pt>
                <c:pt idx="38">
                  <c:v>2.726316205356174</c:v>
                </c:pt>
                <c:pt idx="39">
                  <c:v>2.5674197594108508</c:v>
                </c:pt>
                <c:pt idx="40">
                  <c:v>2.4200394529711411</c:v>
                </c:pt>
                <c:pt idx="41">
                  <c:v>2.2831744798408877</c:v>
                </c:pt>
                <c:pt idx="42">
                  <c:v>2.1559254152061778</c:v>
                </c:pt>
                <c:pt idx="43">
                  <c:v>2.0374825099315079</c:v>
                </c:pt>
                <c:pt idx="44">
                  <c:v>1.9271154976903651</c:v>
                </c:pt>
                <c:pt idx="45">
                  <c:v>1.8241646993443044</c:v>
                </c:pt>
                <c:pt idx="46">
                  <c:v>1.7280332424311591</c:v>
                </c:pt>
                <c:pt idx="47">
                  <c:v>1.6381802414829363</c:v>
                </c:pt>
                <c:pt idx="48">
                  <c:v>1.5541148081619027</c:v>
                </c:pt>
                <c:pt idx="49">
                  <c:v>1.4753907796867702</c:v>
                </c:pt>
                <c:pt idx="50">
                  <c:v>1.4016020703774665</c:v>
                </c:pt>
                <c:pt idx="51">
                  <c:v>1.3323785649130595</c:v>
                </c:pt>
                <c:pt idx="52">
                  <c:v>1.2673824835120937</c:v>
                </c:pt>
                <c:pt idx="53">
                  <c:v>1.2063051590677671</c:v>
                </c:pt>
                <c:pt idx="54">
                  <c:v>1.1488641745982906</c:v>
                </c:pt>
                <c:pt idx="55">
                  <c:v>1.0948008164492455</c:v>
                </c:pt>
                <c:pt idx="56">
                  <c:v>1.0438778047115975</c:v>
                </c:pt>
                <c:pt idx="57">
                  <c:v>0.9958772674633618</c:v>
                </c:pt>
                <c:pt idx="58">
                  <c:v>0.95059892984330907</c:v>
                </c:pt>
                <c:pt idx="59">
                  <c:v>0.90785849273733454</c:v>
                </c:pt>
                <c:pt idx="60">
                  <c:v>0.86748617909830583</c:v>
                </c:pt>
                <c:pt idx="61">
                  <c:v>0.82932542870918613</c:v>
                </c:pt>
                <c:pt idx="62">
                  <c:v>0.79323172460444236</c:v>
                </c:pt>
                <c:pt idx="63">
                  <c:v>0.75907153644303527</c:v>
                </c:pt>
                <c:pt idx="64">
                  <c:v>0.72672136792544328</c:v>
                </c:pt>
                <c:pt idx="65">
                  <c:v>0.696066896907512</c:v>
                </c:pt>
                <c:pt idx="66">
                  <c:v>0.66700219821960816</c:v>
                </c:pt>
                <c:pt idx="67">
                  <c:v>0.63942904037943271</c:v>
                </c:pt>
                <c:pt idx="68">
                  <c:v>0.61325624841549475</c:v>
                </c:pt>
                <c:pt idx="69">
                  <c:v>0.58839912591654442</c:v>
                </c:pt>
                <c:pt idx="70">
                  <c:v>0.56477893020796566</c:v>
                </c:pt>
                <c:pt idx="71">
                  <c:v>0.54232239524448411</c:v>
                </c:pt>
                <c:pt idx="72">
                  <c:v>0.52096129741250885</c:v>
                </c:pt>
                <c:pt idx="73">
                  <c:v>0.50063205996618054</c:v>
                </c:pt>
                <c:pt idx="74">
                  <c:v>0.48127539228828703</c:v>
                </c:pt>
                <c:pt idx="75">
                  <c:v>0.46283596057885057</c:v>
                </c:pt>
                <c:pt idx="76">
                  <c:v>0.44526208693753744</c:v>
                </c:pt>
                <c:pt idx="77">
                  <c:v>0.42850547412712175</c:v>
                </c:pt>
                <c:pt idx="78">
                  <c:v>0.4125209535894076</c:v>
                </c:pt>
                <c:pt idx="79">
                  <c:v>0.39726625453686026</c:v>
                </c:pt>
                <c:pt idx="80">
                  <c:v>0.38270179216661104</c:v>
                </c:pt>
                <c:pt idx="81">
                  <c:v>0.36879047324204567</c:v>
                </c:pt>
                <c:pt idx="82">
                  <c:v>0.35549751746375574</c:v>
                </c:pt>
                <c:pt idx="83">
                  <c:v>0.34279029320891613</c:v>
                </c:pt>
                <c:pt idx="84">
                  <c:v>0.33063816635837995</c:v>
                </c:pt>
                <c:pt idx="85">
                  <c:v>0.31901236105598296</c:v>
                </c:pt>
                <c:pt idx="86">
                  <c:v>0.30788583135642095</c:v>
                </c:pt>
                <c:pt idx="87">
                  <c:v>0.29723314281819024</c:v>
                </c:pt>
                <c:pt idx="88">
                  <c:v>0.28703036318773528</c:v>
                </c:pt>
                <c:pt idx="89">
                  <c:v>0.27725496140135802</c:v>
                </c:pt>
                <c:pt idx="90">
                  <c:v>0.26788571420360785</c:v>
                </c:pt>
                <c:pt idx="91">
                  <c:v>0.25890261974573159</c:v>
                </c:pt>
                <c:pt idx="92">
                  <c:v>0.25028681758607302</c:v>
                </c:pt>
                <c:pt idx="93">
                  <c:v>0.2420205145668419</c:v>
                </c:pt>
                <c:pt idx="94">
                  <c:v>0.23408691608899324</c:v>
                </c:pt>
                <c:pt idx="95">
                  <c:v>0.22647016234964712</c:v>
                </c:pt>
                <c:pt idx="96">
                  <c:v>0.21915526914503627</c:v>
                </c:pt>
                <c:pt idx="97">
                  <c:v>0.2121280728767993</c:v>
                </c:pt>
                <c:pt idx="98">
                  <c:v>0.20537517943095437</c:v>
                </c:pt>
                <c:pt idx="99">
                  <c:v>0.19888391662741978</c:v>
                </c:pt>
              </c:numCache>
            </c:numRef>
          </c:yVal>
          <c:smooth val="0"/>
          <c:extLst>
            <c:ext xmlns:c16="http://schemas.microsoft.com/office/drawing/2014/chart" uri="{C3380CC4-5D6E-409C-BE32-E72D297353CC}">
              <c16:uniqueId val="{0000000D-9D94-F14F-893E-F53731B1B6A0}"/>
            </c:ext>
          </c:extLst>
        </c:ser>
        <c:ser>
          <c:idx val="6"/>
          <c:order val="1"/>
          <c:spPr>
            <a:ln w="12700">
              <a:solidFill>
                <a:srgbClr val="000000"/>
              </a:solidFill>
              <a:prstDash val="solid"/>
            </a:ln>
          </c:spPr>
          <c:marker>
            <c:symbol val="none"/>
          </c:marker>
          <c:xVal>
            <c:numRef>
              <c:f>STAT!$AC$202:$AC$203</c:f>
              <c:numCache>
                <c:formatCode>General</c:formatCode>
                <c:ptCount val="2"/>
                <c:pt idx="0">
                  <c:v>1.7365684833218993E-2</c:v>
                </c:pt>
                <c:pt idx="1">
                  <c:v>1.7365684833218993E-2</c:v>
                </c:pt>
              </c:numCache>
            </c:numRef>
          </c:xVal>
          <c:yVal>
            <c:numRef>
              <c:f>STAT!$AD$202:$AD$203</c:f>
              <c:numCache>
                <c:formatCode>General</c:formatCode>
                <c:ptCount val="2"/>
                <c:pt idx="0">
                  <c:v>0</c:v>
                </c:pt>
                <c:pt idx="1">
                  <c:v>61.850450607770959</c:v>
                </c:pt>
              </c:numCache>
            </c:numRef>
          </c:yVal>
          <c:smooth val="0"/>
          <c:extLst>
            <c:ext xmlns:c16="http://schemas.microsoft.com/office/drawing/2014/chart" uri="{C3380CC4-5D6E-409C-BE32-E72D297353CC}">
              <c16:uniqueId val="{0000000E-9D94-F14F-893E-F53731B1B6A0}"/>
            </c:ext>
          </c:extLst>
        </c:ser>
        <c:ser>
          <c:idx val="7"/>
          <c:order val="2"/>
          <c:spPr>
            <a:ln w="12700">
              <a:solidFill>
                <a:srgbClr val="0000FF"/>
              </a:solidFill>
              <a:prstDash val="solid"/>
            </a:ln>
          </c:spPr>
          <c:marker>
            <c:symbol val="none"/>
          </c:marker>
          <c:xVal>
            <c:numRef>
              <c:f>STAT!$AE$202:$AE$203</c:f>
              <c:numCache>
                <c:formatCode>General</c:formatCode>
                <c:ptCount val="2"/>
                <c:pt idx="0">
                  <c:v>3.6432931289839848E-2</c:v>
                </c:pt>
                <c:pt idx="1">
                  <c:v>3.6432931289839848E-2</c:v>
                </c:pt>
              </c:numCache>
            </c:numRef>
          </c:xVal>
          <c:yVal>
            <c:numRef>
              <c:f>STAT!$AF$202:$AF$203</c:f>
              <c:numCache>
                <c:formatCode>General</c:formatCode>
                <c:ptCount val="2"/>
                <c:pt idx="0">
                  <c:v>0</c:v>
                </c:pt>
                <c:pt idx="1">
                  <c:v>61.850450607770959</c:v>
                </c:pt>
              </c:numCache>
            </c:numRef>
          </c:yVal>
          <c:smooth val="0"/>
          <c:extLst>
            <c:ext xmlns:c16="http://schemas.microsoft.com/office/drawing/2014/chart" uri="{C3380CC4-5D6E-409C-BE32-E72D297353CC}">
              <c16:uniqueId val="{0000000F-9D94-F14F-893E-F53731B1B6A0}"/>
            </c:ext>
          </c:extLst>
        </c:ser>
        <c:ser>
          <c:idx val="8"/>
          <c:order val="3"/>
          <c:spPr>
            <a:ln w="3175">
              <a:solidFill>
                <a:srgbClr val="000000"/>
              </a:solidFill>
              <a:prstDash val="lgDashDot"/>
            </a:ln>
          </c:spPr>
          <c:marker>
            <c:symbol val="none"/>
          </c:marker>
          <c:xVal>
            <c:numRef>
              <c:f>STAT!$AG$202:$AG$203</c:f>
              <c:numCache>
                <c:formatCode>General</c:formatCode>
                <c:ptCount val="2"/>
                <c:pt idx="0">
                  <c:v>8.6698299317882491E-2</c:v>
                </c:pt>
                <c:pt idx="1">
                  <c:v>8.6698299317882491E-2</c:v>
                </c:pt>
              </c:numCache>
            </c:numRef>
          </c:xVal>
          <c:yVal>
            <c:numRef>
              <c:f>STAT!$AH$202:$AH$203</c:f>
              <c:numCache>
                <c:formatCode>General</c:formatCode>
                <c:ptCount val="2"/>
                <c:pt idx="0">
                  <c:v>0</c:v>
                </c:pt>
                <c:pt idx="1">
                  <c:v>61.850450607770959</c:v>
                </c:pt>
              </c:numCache>
            </c:numRef>
          </c:yVal>
          <c:smooth val="0"/>
          <c:extLst>
            <c:ext xmlns:c16="http://schemas.microsoft.com/office/drawing/2014/chart" uri="{C3380CC4-5D6E-409C-BE32-E72D297353CC}">
              <c16:uniqueId val="{00000010-9D94-F14F-893E-F53731B1B6A0}"/>
            </c:ext>
          </c:extLst>
        </c:ser>
        <c:ser>
          <c:idx val="9"/>
          <c:order val="4"/>
          <c:spPr>
            <a:ln w="3175">
              <a:solidFill>
                <a:srgbClr val="000000"/>
              </a:solidFill>
              <a:prstDash val="lgDashDot"/>
            </a:ln>
          </c:spPr>
          <c:marker>
            <c:symbol val="none"/>
          </c:marker>
          <c:xVal>
            <c:numRef>
              <c:f>STAT!$AI$201:$AI$202</c:f>
              <c:numCache>
                <c:formatCode>General</c:formatCode>
                <c:ptCount val="2"/>
              </c:numCache>
            </c:numRef>
          </c:xVal>
          <c:yVal>
            <c:numRef>
              <c:f>STAT!$AJ$201:$AJ$202</c:f>
              <c:numCache>
                <c:formatCode>General</c:formatCode>
                <c:ptCount val="2"/>
              </c:numCache>
            </c:numRef>
          </c:yVal>
          <c:smooth val="0"/>
          <c:extLst>
            <c:ext xmlns:c16="http://schemas.microsoft.com/office/drawing/2014/chart" uri="{C3380CC4-5D6E-409C-BE32-E72D297353CC}">
              <c16:uniqueId val="{00000011-9D94-F14F-893E-F53731B1B6A0}"/>
            </c:ext>
          </c:extLst>
        </c:ser>
        <c:ser>
          <c:idx val="0"/>
          <c:order val="5"/>
          <c:spPr>
            <a:ln w="12700">
              <a:solidFill>
                <a:srgbClr val="FF0000"/>
              </a:solidFill>
              <a:prstDash val="solid"/>
            </a:ln>
          </c:spPr>
          <c:marker>
            <c:symbol val="none"/>
          </c:marker>
          <c:xVal>
            <c:numRef>
              <c:f>STAT!$D$201:$D$300</c:f>
              <c:numCache>
                <c:formatCode>General</c:formatCode>
                <c:ptCount val="100"/>
                <c:pt idx="0">
                  <c:v>1.2546650875723188E-3</c:v>
                </c:pt>
                <c:pt idx="1">
                  <c:v>2.5093301751446377E-3</c:v>
                </c:pt>
                <c:pt idx="2">
                  <c:v>3.7639952627169567E-3</c:v>
                </c:pt>
                <c:pt idx="3">
                  <c:v>5.0186603502892753E-3</c:v>
                </c:pt>
                <c:pt idx="4">
                  <c:v>6.2733254378615939E-3</c:v>
                </c:pt>
                <c:pt idx="5">
                  <c:v>7.5279905254339126E-3</c:v>
                </c:pt>
                <c:pt idx="6">
                  <c:v>8.7826556130062312E-3</c:v>
                </c:pt>
                <c:pt idx="7">
                  <c:v>1.0037320700578551E-2</c:v>
                </c:pt>
                <c:pt idx="8">
                  <c:v>1.129198578815087E-2</c:v>
                </c:pt>
                <c:pt idx="9">
                  <c:v>1.254665087572319E-2</c:v>
                </c:pt>
                <c:pt idx="10">
                  <c:v>1.3801315963295509E-2</c:v>
                </c:pt>
                <c:pt idx="11">
                  <c:v>1.5055981050867829E-2</c:v>
                </c:pt>
                <c:pt idx="12">
                  <c:v>1.6310646138440146E-2</c:v>
                </c:pt>
                <c:pt idx="13">
                  <c:v>1.7565311226012466E-2</c:v>
                </c:pt>
                <c:pt idx="14">
                  <c:v>1.8819976313584785E-2</c:v>
                </c:pt>
                <c:pt idx="15">
                  <c:v>2.0074641401157105E-2</c:v>
                </c:pt>
                <c:pt idx="16">
                  <c:v>2.1329306488729424E-2</c:v>
                </c:pt>
                <c:pt idx="17">
                  <c:v>2.2583971576301744E-2</c:v>
                </c:pt>
                <c:pt idx="18">
                  <c:v>2.3838636663874063E-2</c:v>
                </c:pt>
                <c:pt idx="19">
                  <c:v>2.5093301751446383E-2</c:v>
                </c:pt>
                <c:pt idx="20">
                  <c:v>2.6347966839018702E-2</c:v>
                </c:pt>
                <c:pt idx="21">
                  <c:v>2.7602631926591022E-2</c:v>
                </c:pt>
                <c:pt idx="22">
                  <c:v>2.8857297014163341E-2</c:v>
                </c:pt>
                <c:pt idx="23">
                  <c:v>3.0111962101735661E-2</c:v>
                </c:pt>
                <c:pt idx="24">
                  <c:v>3.136662718930798E-2</c:v>
                </c:pt>
                <c:pt idx="25">
                  <c:v>3.26212922768803E-2</c:v>
                </c:pt>
                <c:pt idx="26">
                  <c:v>3.3875957364452619E-2</c:v>
                </c:pt>
                <c:pt idx="27">
                  <c:v>3.5130622452024939E-2</c:v>
                </c:pt>
                <c:pt idx="28">
                  <c:v>3.6385287539597258E-2</c:v>
                </c:pt>
                <c:pt idx="29">
                  <c:v>3.7639952627169578E-2</c:v>
                </c:pt>
                <c:pt idx="30">
                  <c:v>3.8894617714741897E-2</c:v>
                </c:pt>
                <c:pt idx="31">
                  <c:v>4.0149282802314216E-2</c:v>
                </c:pt>
                <c:pt idx="32">
                  <c:v>4.1403947889886536E-2</c:v>
                </c:pt>
                <c:pt idx="33">
                  <c:v>4.2658612977458855E-2</c:v>
                </c:pt>
                <c:pt idx="34">
                  <c:v>4.3913278065031175E-2</c:v>
                </c:pt>
                <c:pt idx="35">
                  <c:v>4.5167943152603494E-2</c:v>
                </c:pt>
                <c:pt idx="36">
                  <c:v>4.6422608240175814E-2</c:v>
                </c:pt>
                <c:pt idx="37">
                  <c:v>4.7677273327748133E-2</c:v>
                </c:pt>
                <c:pt idx="38">
                  <c:v>4.8931938415320453E-2</c:v>
                </c:pt>
                <c:pt idx="39">
                  <c:v>5.0186603502892772E-2</c:v>
                </c:pt>
                <c:pt idx="40">
                  <c:v>5.1441268590465092E-2</c:v>
                </c:pt>
                <c:pt idx="41">
                  <c:v>5.2695933678037411E-2</c:v>
                </c:pt>
                <c:pt idx="42">
                  <c:v>5.3950598765609731E-2</c:v>
                </c:pt>
                <c:pt idx="43">
                  <c:v>5.520526385318205E-2</c:v>
                </c:pt>
                <c:pt idx="44">
                  <c:v>5.645992894075437E-2</c:v>
                </c:pt>
                <c:pt idx="45">
                  <c:v>5.7714594028326689E-2</c:v>
                </c:pt>
                <c:pt idx="46">
                  <c:v>5.8969259115899009E-2</c:v>
                </c:pt>
                <c:pt idx="47">
                  <c:v>6.0223924203471328E-2</c:v>
                </c:pt>
                <c:pt idx="48">
                  <c:v>6.1478589291043648E-2</c:v>
                </c:pt>
                <c:pt idx="49">
                  <c:v>6.273325437861596E-2</c:v>
                </c:pt>
                <c:pt idx="50">
                  <c:v>6.3987919466188273E-2</c:v>
                </c:pt>
                <c:pt idx="51">
                  <c:v>6.5242584553760585E-2</c:v>
                </c:pt>
                <c:pt idx="52">
                  <c:v>6.6497249641332898E-2</c:v>
                </c:pt>
                <c:pt idx="53">
                  <c:v>6.775191472890521E-2</c:v>
                </c:pt>
                <c:pt idx="54">
                  <c:v>6.9006579816477523E-2</c:v>
                </c:pt>
                <c:pt idx="55">
                  <c:v>7.0261244904049835E-2</c:v>
                </c:pt>
                <c:pt idx="56">
                  <c:v>7.1515909991622148E-2</c:v>
                </c:pt>
                <c:pt idx="57">
                  <c:v>7.2770575079194461E-2</c:v>
                </c:pt>
                <c:pt idx="58">
                  <c:v>7.4025240166766773E-2</c:v>
                </c:pt>
                <c:pt idx="59">
                  <c:v>7.5279905254339086E-2</c:v>
                </c:pt>
                <c:pt idx="60">
                  <c:v>7.6534570341911398E-2</c:v>
                </c:pt>
                <c:pt idx="61">
                  <c:v>7.7789235429483711E-2</c:v>
                </c:pt>
                <c:pt idx="62">
                  <c:v>7.9043900517056023E-2</c:v>
                </c:pt>
                <c:pt idx="63">
                  <c:v>8.0298565604628336E-2</c:v>
                </c:pt>
                <c:pt idx="64">
                  <c:v>8.1553230692200648E-2</c:v>
                </c:pt>
                <c:pt idx="65">
                  <c:v>8.2807895779772961E-2</c:v>
                </c:pt>
                <c:pt idx="66">
                  <c:v>8.4062560867345273E-2</c:v>
                </c:pt>
                <c:pt idx="67">
                  <c:v>8.5317225954917586E-2</c:v>
                </c:pt>
                <c:pt idx="68">
                  <c:v>8.6571891042489899E-2</c:v>
                </c:pt>
                <c:pt idx="69">
                  <c:v>8.7826556130062211E-2</c:v>
                </c:pt>
                <c:pt idx="70">
                  <c:v>8.9081221217634524E-2</c:v>
                </c:pt>
                <c:pt idx="71">
                  <c:v>9.0335886305206836E-2</c:v>
                </c:pt>
                <c:pt idx="72">
                  <c:v>9.1590551392779149E-2</c:v>
                </c:pt>
                <c:pt idx="73">
                  <c:v>9.2845216480351461E-2</c:v>
                </c:pt>
                <c:pt idx="74">
                  <c:v>9.4099881567923774E-2</c:v>
                </c:pt>
                <c:pt idx="75">
                  <c:v>9.5354546655496086E-2</c:v>
                </c:pt>
                <c:pt idx="76">
                  <c:v>9.6609211743068399E-2</c:v>
                </c:pt>
                <c:pt idx="77">
                  <c:v>9.7863876830640711E-2</c:v>
                </c:pt>
                <c:pt idx="78">
                  <c:v>9.9118541918213024E-2</c:v>
                </c:pt>
                <c:pt idx="79">
                  <c:v>0.10037320700578534</c:v>
                </c:pt>
                <c:pt idx="80">
                  <c:v>0.10162787209335765</c:v>
                </c:pt>
                <c:pt idx="81">
                  <c:v>0.10288253718092996</c:v>
                </c:pt>
                <c:pt idx="82">
                  <c:v>0.10413720226850227</c:v>
                </c:pt>
                <c:pt idx="83">
                  <c:v>0.10539186735607459</c:v>
                </c:pt>
                <c:pt idx="84">
                  <c:v>0.1066465324436469</c:v>
                </c:pt>
                <c:pt idx="85">
                  <c:v>0.10790119753121921</c:v>
                </c:pt>
                <c:pt idx="86">
                  <c:v>0.10915586261879152</c:v>
                </c:pt>
                <c:pt idx="87">
                  <c:v>0.11041052770636384</c:v>
                </c:pt>
                <c:pt idx="88">
                  <c:v>0.11166519279393615</c:v>
                </c:pt>
                <c:pt idx="89">
                  <c:v>0.11291985788150846</c:v>
                </c:pt>
                <c:pt idx="90">
                  <c:v>0.11417452296908077</c:v>
                </c:pt>
                <c:pt idx="91">
                  <c:v>0.11542918805665309</c:v>
                </c:pt>
                <c:pt idx="92">
                  <c:v>0.1166838531442254</c:v>
                </c:pt>
                <c:pt idx="93">
                  <c:v>0.11793851823179771</c:v>
                </c:pt>
                <c:pt idx="94">
                  <c:v>0.11919318331937002</c:v>
                </c:pt>
                <c:pt idx="95">
                  <c:v>0.12044784840694234</c:v>
                </c:pt>
                <c:pt idx="96">
                  <c:v>0.12170251349451465</c:v>
                </c:pt>
                <c:pt idx="97">
                  <c:v>0.12295717858208696</c:v>
                </c:pt>
                <c:pt idx="98">
                  <c:v>0.12421184366965927</c:v>
                </c:pt>
                <c:pt idx="99">
                  <c:v>0.12546650875723159</c:v>
                </c:pt>
              </c:numCache>
            </c:numRef>
          </c:xVal>
          <c:yVal>
            <c:numRef>
              <c:f>STAT!$E$201:$E$300</c:f>
              <c:numCache>
                <c:formatCode>General</c:formatCode>
                <c:ptCount val="100"/>
                <c:pt idx="0">
                  <c:v>39.155102587836744</c:v>
                </c:pt>
                <c:pt idx="1">
                  <c:v>59.221056673897927</c:v>
                </c:pt>
                <c:pt idx="2">
                  <c:v>61.850450607770959</c:v>
                </c:pt>
                <c:pt idx="3">
                  <c:v>58.36087301223607</c:v>
                </c:pt>
                <c:pt idx="4">
                  <c:v>53.026082049535162</c:v>
                </c:pt>
                <c:pt idx="5">
                  <c:v>47.441761887034666</c:v>
                </c:pt>
                <c:pt idx="6">
                  <c:v>42.194644944531674</c:v>
                </c:pt>
                <c:pt idx="7">
                  <c:v>37.473585533489818</c:v>
                </c:pt>
                <c:pt idx="8">
                  <c:v>33.307322610230855</c:v>
                </c:pt>
                <c:pt idx="9">
                  <c:v>29.662025992547882</c:v>
                </c:pt>
                <c:pt idx="10">
                  <c:v>26.48260640334723</c:v>
                </c:pt>
                <c:pt idx="11">
                  <c:v>23.710275075935144</c:v>
                </c:pt>
                <c:pt idx="12">
                  <c:v>21.289713043084401</c:v>
                </c:pt>
                <c:pt idx="13">
                  <c:v>19.171617417313879</c:v>
                </c:pt>
                <c:pt idx="14">
                  <c:v>17.31320473926128</c:v>
                </c:pt>
                <c:pt idx="15">
                  <c:v>15.677851985885667</c:v>
                </c:pt>
                <c:pt idx="16">
                  <c:v>14.234419517534311</c:v>
                </c:pt>
                <c:pt idx="17">
                  <c:v>12.956503611792856</c:v>
                </c:pt>
                <c:pt idx="18">
                  <c:v>11.821725951085739</c:v>
                </c:pt>
                <c:pt idx="19">
                  <c:v>10.81110099382734</c:v>
                </c:pt>
                <c:pt idx="20">
                  <c:v>9.9084912241593983</c:v>
                </c:pt>
                <c:pt idx="21">
                  <c:v>9.1001465606150838</c:v>
                </c:pt>
                <c:pt idx="22">
                  <c:v>8.3743188203165762</c:v>
                </c:pt>
                <c:pt idx="23">
                  <c:v>7.7209407048632901</c:v>
                </c:pt>
                <c:pt idx="24">
                  <c:v>7.1313591302782715</c:v>
                </c:pt>
                <c:pt idx="25">
                  <c:v>6.5981137996311565</c:v>
                </c:pt>
                <c:pt idx="26">
                  <c:v>6.1147531989380743</c:v>
                </c:pt>
                <c:pt idx="27">
                  <c:v>5.6756814482593532</c:v>
                </c:pt>
                <c:pt idx="28">
                  <c:v>5.2760305630146558</c:v>
                </c:pt>
                <c:pt idx="29">
                  <c:v>4.9115536457298479</c:v>
                </c:pt>
                <c:pt idx="30">
                  <c:v>4.5785353377077822</c:v>
                </c:pt>
                <c:pt idx="31">
                  <c:v>4.2737165288204144</c:v>
                </c:pt>
                <c:pt idx="32">
                  <c:v>3.9942308713879289</c:v>
                </c:pt>
                <c:pt idx="33">
                  <c:v>3.7375510905835019</c:v>
                </c:pt>
                <c:pt idx="34">
                  <c:v>3.5014434467818285</c:v>
                </c:pt>
                <c:pt idx="35">
                  <c:v>3.2839290000984089</c:v>
                </c:pt>
                <c:pt idx="36">
                  <c:v>3.0832505668896664</c:v>
                </c:pt>
                <c:pt idx="37">
                  <c:v>2.8978444527703653</c:v>
                </c:pt>
                <c:pt idx="38">
                  <c:v>2.726316205356174</c:v>
                </c:pt>
                <c:pt idx="39">
                  <c:v>2.5674197594108508</c:v>
                </c:pt>
                <c:pt idx="40">
                  <c:v>2.4200394529711411</c:v>
                </c:pt>
                <c:pt idx="41">
                  <c:v>2.2831744798408877</c:v>
                </c:pt>
                <c:pt idx="42">
                  <c:v>2.1559254152061778</c:v>
                </c:pt>
                <c:pt idx="43">
                  <c:v>2.0374825099315079</c:v>
                </c:pt>
                <c:pt idx="44">
                  <c:v>1.9271154976903651</c:v>
                </c:pt>
                <c:pt idx="45">
                  <c:v>1.8241646993443044</c:v>
                </c:pt>
                <c:pt idx="46">
                  <c:v>1.7280332424311591</c:v>
                </c:pt>
                <c:pt idx="47">
                  <c:v>1.6381802414829363</c:v>
                </c:pt>
                <c:pt idx="48">
                  <c:v>1.5541148081619027</c:v>
                </c:pt>
                <c:pt idx="49">
                  <c:v>1.4753907796867702</c:v>
                </c:pt>
                <c:pt idx="50">
                  <c:v>1.4016020703774665</c:v>
                </c:pt>
                <c:pt idx="51">
                  <c:v>1.3323785649130595</c:v>
                </c:pt>
                <c:pt idx="52">
                  <c:v>1.2673824835120937</c:v>
                </c:pt>
                <c:pt idx="53">
                  <c:v>1.2063051590677671</c:v>
                </c:pt>
                <c:pt idx="54">
                  <c:v>1.1488641745982906</c:v>
                </c:pt>
                <c:pt idx="55">
                  <c:v>1.0948008164492455</c:v>
                </c:pt>
                <c:pt idx="56">
                  <c:v>1.0438778047115975</c:v>
                </c:pt>
                <c:pt idx="57">
                  <c:v>0.9958772674633618</c:v>
                </c:pt>
                <c:pt idx="58">
                  <c:v>0.95059892984330907</c:v>
                </c:pt>
                <c:pt idx="59">
                  <c:v>0.90785849273733454</c:v>
                </c:pt>
                <c:pt idx="60">
                  <c:v>0.86748617909830583</c:v>
                </c:pt>
                <c:pt idx="61">
                  <c:v>0.82932542870918613</c:v>
                </c:pt>
                <c:pt idx="62">
                  <c:v>0.79323172460444236</c:v>
                </c:pt>
                <c:pt idx="63">
                  <c:v>0.75907153644303527</c:v>
                </c:pt>
                <c:pt idx="64">
                  <c:v>0.72672136792544328</c:v>
                </c:pt>
                <c:pt idx="65">
                  <c:v>0.696066896907512</c:v>
                </c:pt>
                <c:pt idx="66">
                  <c:v>0.66700219821960816</c:v>
                </c:pt>
                <c:pt idx="67">
                  <c:v>0.63942904037943271</c:v>
                </c:pt>
                <c:pt idx="68">
                  <c:v>0.61325624841549475</c:v>
                </c:pt>
                <c:pt idx="69">
                  <c:v>0.58839912591654442</c:v>
                </c:pt>
                <c:pt idx="70">
                  <c:v>0.56477893020796566</c:v>
                </c:pt>
                <c:pt idx="71">
                  <c:v>0.54232239524448411</c:v>
                </c:pt>
                <c:pt idx="72">
                  <c:v>0.52096129741250885</c:v>
                </c:pt>
                <c:pt idx="73">
                  <c:v>0.50063205996618054</c:v>
                </c:pt>
                <c:pt idx="74">
                  <c:v>0.48127539228828703</c:v>
                </c:pt>
                <c:pt idx="75">
                  <c:v>0.46283596057885057</c:v>
                </c:pt>
                <c:pt idx="76">
                  <c:v>0.44526208693753744</c:v>
                </c:pt>
                <c:pt idx="77">
                  <c:v>0.42850547412712175</c:v>
                </c:pt>
                <c:pt idx="78">
                  <c:v>0.4125209535894076</c:v>
                </c:pt>
                <c:pt idx="79">
                  <c:v>0.39726625453686026</c:v>
                </c:pt>
                <c:pt idx="80">
                  <c:v>0.38270179216661104</c:v>
                </c:pt>
                <c:pt idx="81">
                  <c:v>0.36879047324204567</c:v>
                </c:pt>
                <c:pt idx="82">
                  <c:v>0.35549751746375574</c:v>
                </c:pt>
                <c:pt idx="83">
                  <c:v>0.34279029320891613</c:v>
                </c:pt>
                <c:pt idx="84">
                  <c:v>0.33063816635837995</c:v>
                </c:pt>
                <c:pt idx="85">
                  <c:v>0.31901236105598296</c:v>
                </c:pt>
                <c:pt idx="86">
                  <c:v>0.30788583135642095</c:v>
                </c:pt>
                <c:pt idx="87">
                  <c:v>0.29723314281819024</c:v>
                </c:pt>
                <c:pt idx="88">
                  <c:v>0.28703036318773528</c:v>
                </c:pt>
                <c:pt idx="89">
                  <c:v>0.27725496140135802</c:v>
                </c:pt>
                <c:pt idx="90">
                  <c:v>0.26788571420360785</c:v>
                </c:pt>
                <c:pt idx="91">
                  <c:v>0.25890261974573159</c:v>
                </c:pt>
                <c:pt idx="92">
                  <c:v>0.25028681758607302</c:v>
                </c:pt>
                <c:pt idx="93">
                  <c:v>0.2420205145668419</c:v>
                </c:pt>
                <c:pt idx="94">
                  <c:v>0.23408691608899324</c:v>
                </c:pt>
                <c:pt idx="95">
                  <c:v>0.22647016234964712</c:v>
                </c:pt>
                <c:pt idx="96">
                  <c:v>0.21915526914503627</c:v>
                </c:pt>
                <c:pt idx="97">
                  <c:v>0.2121280728767993</c:v>
                </c:pt>
                <c:pt idx="98">
                  <c:v>0.20537517943095437</c:v>
                </c:pt>
                <c:pt idx="99">
                  <c:v>0.19888391662741978</c:v>
                </c:pt>
              </c:numCache>
            </c:numRef>
          </c:yVal>
          <c:smooth val="0"/>
          <c:extLst>
            <c:ext xmlns:c16="http://schemas.microsoft.com/office/drawing/2014/chart" uri="{C3380CC4-5D6E-409C-BE32-E72D297353CC}">
              <c16:uniqueId val="{00000001-9D94-F14F-893E-F53731B1B6A0}"/>
            </c:ext>
          </c:extLst>
        </c:ser>
        <c:ser>
          <c:idx val="1"/>
          <c:order val="6"/>
          <c:spPr>
            <a:ln w="12700">
              <a:solidFill>
                <a:srgbClr val="000000"/>
              </a:solidFill>
              <a:prstDash val="solid"/>
            </a:ln>
          </c:spPr>
          <c:marker>
            <c:symbol val="none"/>
          </c:marker>
          <c:dLbls>
            <c:dLbl>
              <c:idx val="1"/>
              <c:tx>
                <c:strRef>
                  <c:f>Lan!$E$155</c:f>
                  <c:strCache>
                    <c:ptCount val="1"/>
                    <c:pt idx="0">
                      <c:v>AM (MVUE)</c:v>
                    </c:pt>
                  </c:strCache>
                </c:strRef>
              </c:tx>
              <c:spPr>
                <a:noFill/>
                <a:ln w="25400">
                  <a:noFill/>
                </a:ln>
              </c:spPr>
              <c:txPr>
                <a:bodyPr/>
                <a:lstStyle/>
                <a:p>
                  <a:pPr>
                    <a:defRPr sz="1000" b="0" i="0" u="none" strike="noStrike" baseline="0">
                      <a:solidFill>
                        <a:srgbClr val="000000"/>
                      </a:solidFill>
                      <a:latin typeface="Geneva"/>
                      <a:ea typeface="Geneva"/>
                      <a:cs typeface="Geneva"/>
                    </a:defRPr>
                  </a:pPr>
                  <a:endParaRPr lang="en-NO"/>
                </a:p>
              </c:txPr>
              <c:showLegendKey val="0"/>
              <c:showVal val="0"/>
              <c:showCatName val="0"/>
              <c:showSerName val="0"/>
              <c:showPercent val="0"/>
              <c:showBubbleSize val="0"/>
              <c:extLst>
                <c:ext xmlns:c15="http://schemas.microsoft.com/office/drawing/2012/chart" uri="{CE6537A1-D6FC-4f65-9D91-7224C49458BB}">
                  <c15:dlblFieldTable>
                    <c15:dlblFTEntry>
                      <c15:txfldGUID>{FCE6FD31-5C49-704B-88B0-15A5C619102F}</c15:txfldGUID>
                      <c15:f>Lan!$E$155</c15:f>
                      <c15:dlblFieldTableCache>
                        <c:ptCount val="1"/>
                        <c:pt idx="0">
                          <c:v>AM (MVUE)</c:v>
                        </c:pt>
                      </c15:dlblFieldTableCache>
                    </c15:dlblFTEntry>
                  </c15:dlblFieldTable>
                  <c15:showDataLabelsRange val="0"/>
                </c:ext>
                <c:ext xmlns:c16="http://schemas.microsoft.com/office/drawing/2014/chart" uri="{C3380CC4-5D6E-409C-BE32-E72D297353CC}">
                  <c16:uniqueId val="{00000003-9D94-F14F-893E-F53731B1B6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STAT!$AC$202:$AC$203</c:f>
              <c:numCache>
                <c:formatCode>General</c:formatCode>
                <c:ptCount val="2"/>
                <c:pt idx="0">
                  <c:v>1.7365684833218993E-2</c:v>
                </c:pt>
                <c:pt idx="1">
                  <c:v>1.7365684833218993E-2</c:v>
                </c:pt>
              </c:numCache>
            </c:numRef>
          </c:xVal>
          <c:yVal>
            <c:numRef>
              <c:f>STAT!$AD$202:$AD$203</c:f>
              <c:numCache>
                <c:formatCode>General</c:formatCode>
                <c:ptCount val="2"/>
                <c:pt idx="0">
                  <c:v>0</c:v>
                </c:pt>
                <c:pt idx="1">
                  <c:v>61.850450607770959</c:v>
                </c:pt>
              </c:numCache>
            </c:numRef>
          </c:yVal>
          <c:smooth val="0"/>
          <c:extLst>
            <c:ext xmlns:c16="http://schemas.microsoft.com/office/drawing/2014/chart" uri="{C3380CC4-5D6E-409C-BE32-E72D297353CC}">
              <c16:uniqueId val="{00000004-9D94-F14F-893E-F53731B1B6A0}"/>
            </c:ext>
          </c:extLst>
        </c:ser>
        <c:ser>
          <c:idx val="2"/>
          <c:order val="7"/>
          <c:spPr>
            <a:ln w="12700">
              <a:solidFill>
                <a:srgbClr val="0000FF"/>
              </a:solidFill>
              <a:prstDash val="solid"/>
            </a:ln>
          </c:spPr>
          <c:marker>
            <c:symbol val="none"/>
          </c:marker>
          <c:dLbls>
            <c:dLbl>
              <c:idx val="1"/>
              <c:tx>
                <c:strRef>
                  <c:f>Lan!$E$156</c:f>
                  <c:strCache>
                    <c:ptCount val="1"/>
                    <c:pt idx="0">
                      <c:v>95%il</c:v>
                    </c:pt>
                  </c:strCache>
                </c:strRef>
              </c:tx>
              <c:spPr>
                <a:noFill/>
                <a:ln w="25400">
                  <a:noFill/>
                </a:ln>
              </c:spPr>
              <c:txPr>
                <a:bodyPr/>
                <a:lstStyle/>
                <a:p>
                  <a:pPr>
                    <a:defRPr sz="1000" b="0" i="0" u="none" strike="noStrike" baseline="0">
                      <a:solidFill>
                        <a:srgbClr val="000000"/>
                      </a:solidFill>
                      <a:latin typeface="Geneva"/>
                      <a:ea typeface="Geneva"/>
                      <a:cs typeface="Geneva"/>
                    </a:defRPr>
                  </a:pPr>
                  <a:endParaRPr lang="en-NO"/>
                </a:p>
              </c:txPr>
              <c:showLegendKey val="0"/>
              <c:showVal val="0"/>
              <c:showCatName val="0"/>
              <c:showSerName val="0"/>
              <c:showPercent val="0"/>
              <c:showBubbleSize val="0"/>
              <c:extLst>
                <c:ext xmlns:c15="http://schemas.microsoft.com/office/drawing/2012/chart" uri="{CE6537A1-D6FC-4f65-9D91-7224C49458BB}">
                  <c15:dlblFieldTable>
                    <c15:dlblFTEntry>
                      <c15:txfldGUID>{518ED762-EC3A-584D-89A6-0C4411130465}</c15:txfldGUID>
                      <c15:f>Lan!$E$156</c15:f>
                      <c15:dlblFieldTableCache>
                        <c:ptCount val="1"/>
                        <c:pt idx="0">
                          <c:v>95%il</c:v>
                        </c:pt>
                      </c15:dlblFieldTableCache>
                    </c15:dlblFTEntry>
                  </c15:dlblFieldTable>
                  <c15:showDataLabelsRange val="0"/>
                </c:ext>
                <c:ext xmlns:c16="http://schemas.microsoft.com/office/drawing/2014/chart" uri="{C3380CC4-5D6E-409C-BE32-E72D297353CC}">
                  <c16:uniqueId val="{00000006-9D94-F14F-893E-F53731B1B6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STAT!$AE$202:$AE$203</c:f>
              <c:numCache>
                <c:formatCode>General</c:formatCode>
                <c:ptCount val="2"/>
                <c:pt idx="0">
                  <c:v>3.6432931289839848E-2</c:v>
                </c:pt>
                <c:pt idx="1">
                  <c:v>3.6432931289839848E-2</c:v>
                </c:pt>
              </c:numCache>
            </c:numRef>
          </c:xVal>
          <c:yVal>
            <c:numRef>
              <c:f>STAT!$AF$202:$AF$203</c:f>
              <c:numCache>
                <c:formatCode>General</c:formatCode>
                <c:ptCount val="2"/>
                <c:pt idx="0">
                  <c:v>0</c:v>
                </c:pt>
                <c:pt idx="1">
                  <c:v>61.850450607770959</c:v>
                </c:pt>
              </c:numCache>
            </c:numRef>
          </c:yVal>
          <c:smooth val="0"/>
          <c:extLst>
            <c:ext xmlns:c16="http://schemas.microsoft.com/office/drawing/2014/chart" uri="{C3380CC4-5D6E-409C-BE32-E72D297353CC}">
              <c16:uniqueId val="{00000007-9D94-F14F-893E-F53731B1B6A0}"/>
            </c:ext>
          </c:extLst>
        </c:ser>
        <c:ser>
          <c:idx val="3"/>
          <c:order val="8"/>
          <c:spPr>
            <a:ln w="3175">
              <a:solidFill>
                <a:srgbClr val="000000"/>
              </a:solidFill>
              <a:prstDash val="lgDashDot"/>
            </a:ln>
          </c:spPr>
          <c:marker>
            <c:symbol val="none"/>
          </c:marker>
          <c:dLbls>
            <c:dLbl>
              <c:idx val="1"/>
              <c:tx>
                <c:strRef>
                  <c:f>Lan!$E$157</c:f>
                  <c:strCache>
                    <c:ptCount val="1"/>
                    <c:pt idx="0">
                      <c:v>EØK</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{A2E86F3E-29DE-284A-98A9-D28A2759F27E}</c15:txfldGUID>
                      <c15:f>Lan!$E$157</c15:f>
                      <c15:dlblFieldTableCache>
                        <c:ptCount val="1"/>
                        <c:pt idx="0">
                          <c:v>EØK</c:v>
                        </c:pt>
                      </c15:dlblFieldTableCache>
                    </c15:dlblFTEntry>
                  </c15:dlblFieldTable>
                  <c15:showDataLabelsRange val="0"/>
                </c:ext>
                <c:ext xmlns:c16="http://schemas.microsoft.com/office/drawing/2014/chart" uri="{C3380CC4-5D6E-409C-BE32-E72D297353CC}">
                  <c16:uniqueId val="{00000009-9D94-F14F-893E-F53731B1B6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STAT!$AG$202:$AG$203</c:f>
              <c:numCache>
                <c:formatCode>General</c:formatCode>
                <c:ptCount val="2"/>
                <c:pt idx="0">
                  <c:v>8.6698299317882491E-2</c:v>
                </c:pt>
                <c:pt idx="1">
                  <c:v>8.6698299317882491E-2</c:v>
                </c:pt>
              </c:numCache>
            </c:numRef>
          </c:xVal>
          <c:yVal>
            <c:numRef>
              <c:f>STAT!$AH$202:$AH$203</c:f>
              <c:numCache>
                <c:formatCode>General</c:formatCode>
                <c:ptCount val="2"/>
                <c:pt idx="0">
                  <c:v>0</c:v>
                </c:pt>
                <c:pt idx="1">
                  <c:v>61.850450607770959</c:v>
                </c:pt>
              </c:numCache>
            </c:numRef>
          </c:yVal>
          <c:smooth val="0"/>
          <c:extLst>
            <c:ext xmlns:c16="http://schemas.microsoft.com/office/drawing/2014/chart" uri="{C3380CC4-5D6E-409C-BE32-E72D297353CC}">
              <c16:uniqueId val="{0000000A-9D94-F14F-893E-F53731B1B6A0}"/>
            </c:ext>
          </c:extLst>
        </c:ser>
        <c:ser>
          <c:idx val="4"/>
          <c:order val="9"/>
          <c:spPr>
            <a:ln w="3175">
              <a:solidFill>
                <a:srgbClr val="000000"/>
              </a:solidFill>
              <a:prstDash val="lgDashDot"/>
            </a:ln>
          </c:spPr>
          <c:marker>
            <c:symbol val="none"/>
          </c:marker>
          <c:xVal>
            <c:numRef>
              <c:f>STAT!$AI$201:$AI$202</c:f>
              <c:numCache>
                <c:formatCode>General</c:formatCode>
                <c:ptCount val="2"/>
              </c:numCache>
            </c:numRef>
          </c:xVal>
          <c:yVal>
            <c:numRef>
              <c:f>STAT!$AJ$201:$AJ$202</c:f>
              <c:numCache>
                <c:formatCode>General</c:formatCode>
                <c:ptCount val="2"/>
              </c:numCache>
            </c:numRef>
          </c:yVal>
          <c:smooth val="0"/>
          <c:extLst>
            <c:ext xmlns:c16="http://schemas.microsoft.com/office/drawing/2014/chart" uri="{C3380CC4-5D6E-409C-BE32-E72D297353CC}">
              <c16:uniqueId val="{0000000C-9D94-F14F-893E-F53731B1B6A0}"/>
            </c:ext>
          </c:extLst>
        </c:ser>
        <c:dLbls>
          <c:showLegendKey val="0"/>
          <c:showVal val="0"/>
          <c:showCatName val="0"/>
          <c:showSerName val="0"/>
          <c:showPercent val="0"/>
          <c:showBubbleSize val="0"/>
        </c:dLbls>
        <c:axId val="65714767"/>
        <c:axId val="1"/>
      </c:scatterChart>
      <c:valAx>
        <c:axId val="65714767"/>
        <c:scaling>
          <c:orientation val="minMax"/>
        </c:scaling>
        <c:delete val="0"/>
        <c:axPos val="b"/>
        <c:title>
          <c:tx>
            <c:strRef>
              <c:f>Lan!$E$158</c:f>
              <c:strCache>
                <c:ptCount val="1"/>
                <c:pt idx="0">
                  <c:v>Konsentrasjon</c:v>
                </c:pt>
              </c:strCache>
            </c:strRef>
          </c:tx>
          <c:layout>
            <c:manualLayout>
              <c:xMode val="edge"/>
              <c:yMode val="edge"/>
              <c:x val="0.43918240312558632"/>
              <c:y val="0.95189960629921244"/>
            </c:manualLayout>
          </c:layout>
          <c:overlay val="0"/>
          <c:spPr>
            <a:noFill/>
            <a:ln w="25400">
              <a:noFill/>
            </a:ln>
          </c:spPr>
          <c:txPr>
            <a:bodyPr/>
            <a:lstStyle/>
            <a:p>
              <a:pPr>
                <a:defRPr sz="1000" b="1" i="0" u="none" strike="noStrike" baseline="0">
                  <a:solidFill>
                    <a:srgbClr val="000000"/>
                  </a:solidFill>
                  <a:latin typeface="Geneva"/>
                  <a:ea typeface="Geneva"/>
                  <a:cs typeface="Geneva"/>
                </a:defRPr>
              </a:pPr>
              <a:endParaRPr lang="en-NO"/>
            </a:p>
          </c:tx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Geneva"/>
                <a:ea typeface="Geneva"/>
                <a:cs typeface="Geneva"/>
              </a:defRPr>
            </a:pPr>
            <a:endParaRPr lang="en-NO"/>
          </a:p>
        </c:txPr>
        <c:crossAx val="1"/>
        <c:crosses val="autoZero"/>
        <c:crossBetween val="midCat"/>
      </c:val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Geneva"/>
                <a:ea typeface="Geneva"/>
                <a:cs typeface="Geneva"/>
              </a:defRPr>
            </a:pPr>
            <a:endParaRPr lang="en-NO"/>
          </a:p>
        </c:txPr>
        <c:crossAx val="65714767"/>
        <c:crosses val="autoZero"/>
        <c:crossBetween val="midCat"/>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Geneva"/>
          <a:ea typeface="Geneva"/>
          <a:cs typeface="Geneva"/>
        </a:defRPr>
      </a:pPr>
      <a:endParaRPr lang="en-NO"/>
    </a:p>
  </c:txPr>
  <c:printSettings>
    <c:headerFooter alignWithMargins="0">
      <c:oddHeader>&amp;F</c:oddHeader>
      <c:oddFooter>Page &amp;P</c:oddFooter>
    </c:headerFooter>
    <c:pageMargins b="1" l="0.75" r="0.75" t="1" header="0.5" footer="0.5"/>
    <c:pageSetup orientation="landscape" blackAndWhite="1"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Lan!$E$151</c:f>
          <c:strCache>
            <c:ptCount val="1"/>
            <c:pt idx="0">
              <c:v>Serieplott
(måledata benyttet uten korrigering av verdier under DG)</c:v>
            </c:pt>
          </c:strCache>
        </c:strRef>
      </c:tx>
      <c:layout>
        <c:manualLayout>
          <c:xMode val="edge"/>
          <c:yMode val="edge"/>
          <c:x val="0.20867235079171742"/>
          <c:y val="8.0467657766719446E-3"/>
        </c:manualLayout>
      </c:layout>
      <c:overlay val="0"/>
      <c:spPr>
        <a:noFill/>
        <a:ln w="25400">
          <a:noFill/>
        </a:ln>
      </c:spPr>
      <c:txPr>
        <a:bodyPr/>
        <a:lstStyle/>
        <a:p>
          <a:pPr>
            <a:defRPr sz="1000" b="1" i="0" u="none" strike="noStrike" baseline="0">
              <a:solidFill>
                <a:srgbClr val="000000"/>
              </a:solidFill>
              <a:latin typeface="Arial"/>
              <a:ea typeface="Arial"/>
              <a:cs typeface="Arial"/>
            </a:defRPr>
          </a:pPr>
          <a:endParaRPr lang="en-NO"/>
        </a:p>
      </c:txPr>
    </c:title>
    <c:autoTitleDeleted val="0"/>
    <c:plotArea>
      <c:layout>
        <c:manualLayout>
          <c:layoutTarget val="inner"/>
          <c:xMode val="edge"/>
          <c:yMode val="edge"/>
          <c:x val="7.9773858267716533E-2"/>
          <c:y val="8.1199435144117482E-2"/>
          <c:w val="0.8966458267716535"/>
          <c:h val="0.82054166040371346"/>
        </c:manualLayout>
      </c:layout>
      <c:scatterChart>
        <c:scatterStyle val="lineMarker"/>
        <c:varyColors val="0"/>
        <c:ser>
          <c:idx val="0"/>
          <c:order val="0"/>
          <c:spPr>
            <a:ln w="12700">
              <a:solidFill>
                <a:srgbClr val="000080"/>
              </a:solidFill>
              <a:prstDash val="solid"/>
            </a:ln>
          </c:spPr>
          <c:marker>
            <c:symbol val="none"/>
          </c:marker>
          <c:xVal>
            <c:numRef>
              <c:f>STAT!$L$114:$L$162</c:f>
              <c:numCache>
                <c:formatCode>General</c:formatCode>
                <c:ptCount val="49"/>
                <c:pt idx="0">
                  <c:v>1</c:v>
                </c:pt>
                <c:pt idx="1">
                  <c:v>2</c:v>
                </c:pt>
                <c:pt idx="2">
                  <c:v>3</c:v>
                </c:pt>
                <c:pt idx="3">
                  <c:v>4</c:v>
                </c:pt>
                <c:pt idx="4">
                  <c:v>5</c:v>
                </c:pt>
                <c:pt idx="5">
                  <c:v>6</c:v>
                </c:pt>
                <c:pt idx="6">
                  <c:v>7</c:v>
                </c:pt>
                <c:pt idx="7">
                  <c:v>8</c:v>
                </c:pt>
                <c:pt idx="8">
                  <c:v>9</c:v>
                </c:pt>
                <c:pt idx="9">
                  <c:v>10</c:v>
                </c:pt>
                <c:pt idx="10">
                  <c:v>11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xVal>
          <c:yVal>
            <c:numRef>
              <c:f>STAT!$M$114:$M$162</c:f>
              <c:numCache>
                <c:formatCode>General</c:formatCode>
                <c:ptCount val="49"/>
                <c:pt idx="0">
                  <c:v>3.0000000000000001E-3</c:v>
                </c:pt>
                <c:pt idx="1">
                  <c:v>1.6500000000000001E-2</c:v>
                </c:pt>
                <c:pt idx="2">
                  <c:v>1.2999999999999999E-2</c:v>
                </c:pt>
                <c:pt idx="3">
                  <c:v>3.2000000000000002E-3</c:v>
                </c:pt>
                <c:pt idx="4">
                  <c:v>4.7999999999999996E-3</c:v>
                </c:pt>
                <c:pt idx="5">
                  <c:v>3.1399999999999997E-2</c:v>
                </c:pt>
                <c:pt idx="6">
                  <c:v>1.2999999999999999E-2</c:v>
                </c:pt>
                <c:pt idx="7">
                  <c:v>1.2999999999999999E-2</c:v>
                </c:pt>
                <c:pt idx="8">
                  <c:v>3.4000000000000002E-2</c:v>
                </c:pt>
                <c:pt idx="9">
                  <c:v>1.4E-2</c:v>
                </c:pt>
                <c:pt idx="10">
                  <c:v>1.9E-2</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numCache>
            </c:numRef>
          </c:yVal>
          <c:smooth val="0"/>
          <c:extLst>
            <c:ext xmlns:c16="http://schemas.microsoft.com/office/drawing/2014/chart" uri="{C3380CC4-5D6E-409C-BE32-E72D297353CC}">
              <c16:uniqueId val="{00000000-C844-7840-A0ED-560888F9F118}"/>
            </c:ext>
          </c:extLst>
        </c:ser>
        <c:dLbls>
          <c:showLegendKey val="0"/>
          <c:showVal val="0"/>
          <c:showCatName val="0"/>
          <c:showSerName val="0"/>
          <c:showPercent val="0"/>
          <c:showBubbleSize val="0"/>
        </c:dLbls>
        <c:axId val="45347135"/>
        <c:axId val="1"/>
      </c:scatterChart>
      <c:valAx>
        <c:axId val="45347135"/>
        <c:scaling>
          <c:orientation val="minMax"/>
        </c:scaling>
        <c:delete val="0"/>
        <c:axPos val="b"/>
        <c:title>
          <c:tx>
            <c:strRef>
              <c:f>Lan!$E$153</c:f>
              <c:strCache>
                <c:ptCount val="1"/>
                <c:pt idx="0">
                  <c:v>Målenummer</c:v>
                </c:pt>
              </c:strCache>
            </c:strRef>
          </c:tx>
          <c:layout>
            <c:manualLayout>
              <c:xMode val="edge"/>
              <c:yMode val="edge"/>
              <c:x val="0.43663419516340612"/>
              <c:y val="0.94807475442577471"/>
            </c:manualLayout>
          </c:layout>
          <c:overlay val="0"/>
          <c:spPr>
            <a:noFill/>
            <a:ln w="25400">
              <a:noFill/>
            </a:ln>
          </c:spPr>
          <c:txPr>
            <a:bodyPr/>
            <a:lstStyle/>
            <a:p>
              <a:pPr>
                <a:defRPr sz="800" b="1" i="0" u="none" strike="noStrike" baseline="0">
                  <a:solidFill>
                    <a:srgbClr val="000000"/>
                  </a:solidFill>
                  <a:latin typeface="Arial"/>
                  <a:ea typeface="Arial"/>
                  <a:cs typeface="Arial"/>
                </a:defRPr>
              </a:pPr>
              <a:endParaRPr lang="en-NO"/>
            </a:p>
          </c:tx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NO"/>
          </a:p>
        </c:txPr>
        <c:crossAx val="1"/>
        <c:crosses val="autoZero"/>
        <c:crossBetween val="midCat"/>
        <c:majorUnit val="1"/>
      </c:valAx>
      <c:valAx>
        <c:axId val="1"/>
        <c:scaling>
          <c:orientation val="minMax"/>
        </c:scaling>
        <c:delete val="0"/>
        <c:axPos val="l"/>
        <c:title>
          <c:tx>
            <c:strRef>
              <c:f>Lan!$E$152</c:f>
              <c:strCache>
                <c:ptCount val="1"/>
                <c:pt idx="0">
                  <c:v>Konsentrasjon</c:v>
                </c:pt>
              </c:strCache>
            </c:strRef>
          </c:tx>
          <c:layout>
            <c:manualLayout>
              <c:xMode val="edge"/>
              <c:yMode val="edge"/>
              <c:x val="3.6405845758967617E-4"/>
              <c:y val="0.37180799375146206"/>
            </c:manualLayout>
          </c:layout>
          <c:overlay val="0"/>
          <c:spPr>
            <a:noFill/>
            <a:ln w="25400">
              <a:noFill/>
            </a:ln>
          </c:spPr>
          <c:txPr>
            <a:bodyPr/>
            <a:lstStyle/>
            <a:p>
              <a:pPr>
                <a:defRPr sz="800" b="1" i="0" u="none" strike="noStrike" baseline="0">
                  <a:solidFill>
                    <a:srgbClr val="000000"/>
                  </a:solidFill>
                  <a:latin typeface="Arial"/>
                  <a:ea typeface="Arial"/>
                  <a:cs typeface="Arial"/>
                </a:defRPr>
              </a:pPr>
              <a:endParaRPr lang="en-NO"/>
            </a:p>
          </c:tx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NO"/>
          </a:p>
        </c:txPr>
        <c:crossAx val="45347135"/>
        <c:crosses val="autoZero"/>
        <c:crossBetween val="midCat"/>
      </c:valAx>
      <c:spPr>
        <a:solidFill>
          <a:srgbClr val="C0C0C0"/>
        </a:solidFill>
        <a:ln w="12700">
          <a:solidFill>
            <a:srgbClr val="80808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NO"/>
    </a:p>
  </c:txPr>
  <c:printSettings>
    <c:headerFooter alignWithMargins="0">
      <c:oddHeader>&amp;A</c:oddHeader>
      <c:oddFooter>Page &amp;P</c:oddFooter>
    </c:headerFooter>
    <c:pageMargins b="1" l="0.75" r="0.75" t="1"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Lan!$E$159</c:f>
          <c:strCache>
            <c:ptCount val="1"/>
            <c:pt idx="0">
              <c:v>Normalfordelingsplott</c:v>
            </c:pt>
          </c:strCache>
        </c:strRef>
      </c:tx>
      <c:layout>
        <c:manualLayout>
          <c:xMode val="edge"/>
          <c:yMode val="edge"/>
          <c:x val="0.35280235512197683"/>
          <c:y val="3.0661665990916291E-2"/>
        </c:manualLayout>
      </c:layout>
      <c:overlay val="0"/>
      <c:spPr>
        <a:noFill/>
        <a:ln w="25400">
          <a:noFill/>
        </a:ln>
      </c:spPr>
      <c:txPr>
        <a:bodyPr/>
        <a:lstStyle/>
        <a:p>
          <a:pPr>
            <a:defRPr sz="1200" b="1" i="0" u="none" strike="noStrike" baseline="0">
              <a:solidFill>
                <a:srgbClr val="000000"/>
              </a:solidFill>
              <a:latin typeface="Geneva"/>
              <a:ea typeface="Geneva"/>
              <a:cs typeface="Geneva"/>
            </a:defRPr>
          </a:pPr>
          <a:endParaRPr lang="en-NO"/>
        </a:p>
      </c:txPr>
    </c:title>
    <c:autoTitleDeleted val="0"/>
    <c:plotArea>
      <c:layout>
        <c:manualLayout>
          <c:layoutTarget val="inner"/>
          <c:xMode val="edge"/>
          <c:yMode val="edge"/>
          <c:x val="8.7138691223990344E-2"/>
          <c:y val="0.10603204862616243"/>
          <c:w val="0.89153795700230776"/>
          <c:h val="0.79870528831065024"/>
        </c:manualLayout>
      </c:layout>
      <c:scatterChart>
        <c:scatterStyle val="lineMarker"/>
        <c:varyColors val="0"/>
        <c:ser>
          <c:idx val="5"/>
          <c:order val="0"/>
          <c:spPr>
            <a:ln w="12700">
              <a:solidFill>
                <a:srgbClr val="FF0000"/>
              </a:solidFill>
              <a:prstDash val="solid"/>
            </a:ln>
          </c:spPr>
          <c:marker>
            <c:symbol val="none"/>
          </c:marker>
          <c:xVal>
            <c:numRef>
              <c:f>STAT!$F$201:$F$300</c:f>
              <c:numCache>
                <c:formatCode>General</c:formatCode>
                <c:ptCount val="100"/>
                <c:pt idx="0">
                  <c:v>4.6494312487501533E-4</c:v>
                </c:pt>
                <c:pt idx="1">
                  <c:v>9.2988624975003065E-4</c:v>
                </c:pt>
                <c:pt idx="2">
                  <c:v>1.394829374625046E-3</c:v>
                </c:pt>
                <c:pt idx="3">
                  <c:v>1.8597724995000613E-3</c:v>
                </c:pt>
                <c:pt idx="4">
                  <c:v>2.3247156243750766E-3</c:v>
                </c:pt>
                <c:pt idx="5">
                  <c:v>2.7896587492500921E-3</c:v>
                </c:pt>
                <c:pt idx="6">
                  <c:v>3.2546018741251076E-3</c:v>
                </c:pt>
                <c:pt idx="7">
                  <c:v>3.7195449990001231E-3</c:v>
                </c:pt>
                <c:pt idx="8">
                  <c:v>4.1844881238751385E-3</c:v>
                </c:pt>
                <c:pt idx="9">
                  <c:v>4.649431248750154E-3</c:v>
                </c:pt>
                <c:pt idx="10">
                  <c:v>5.1143743736251695E-3</c:v>
                </c:pt>
                <c:pt idx="11">
                  <c:v>5.579317498500185E-3</c:v>
                </c:pt>
                <c:pt idx="12">
                  <c:v>6.0442606233752005E-3</c:v>
                </c:pt>
                <c:pt idx="13">
                  <c:v>6.509203748250216E-3</c:v>
                </c:pt>
                <c:pt idx="14">
                  <c:v>6.9741468731252315E-3</c:v>
                </c:pt>
                <c:pt idx="15">
                  <c:v>7.439089998000247E-3</c:v>
                </c:pt>
                <c:pt idx="16">
                  <c:v>7.9040331228752616E-3</c:v>
                </c:pt>
                <c:pt idx="17">
                  <c:v>8.3689762477502771E-3</c:v>
                </c:pt>
                <c:pt idx="18">
                  <c:v>8.8339193726252926E-3</c:v>
                </c:pt>
                <c:pt idx="19">
                  <c:v>9.2988624975003081E-3</c:v>
                </c:pt>
                <c:pt idx="20">
                  <c:v>9.7638056223753236E-3</c:v>
                </c:pt>
                <c:pt idx="21">
                  <c:v>1.0228748747250339E-2</c:v>
                </c:pt>
                <c:pt idx="22">
                  <c:v>1.0693691872125355E-2</c:v>
                </c:pt>
                <c:pt idx="23">
                  <c:v>1.115863499700037E-2</c:v>
                </c:pt>
                <c:pt idx="24">
                  <c:v>1.1623578121875386E-2</c:v>
                </c:pt>
                <c:pt idx="25">
                  <c:v>1.2088521246750401E-2</c:v>
                </c:pt>
                <c:pt idx="26">
                  <c:v>1.2553464371625416E-2</c:v>
                </c:pt>
                <c:pt idx="27">
                  <c:v>1.3018407496500432E-2</c:v>
                </c:pt>
                <c:pt idx="28">
                  <c:v>1.3483350621375447E-2</c:v>
                </c:pt>
                <c:pt idx="29">
                  <c:v>1.3948293746250463E-2</c:v>
                </c:pt>
                <c:pt idx="30">
                  <c:v>1.4413236871125478E-2</c:v>
                </c:pt>
                <c:pt idx="31">
                  <c:v>1.4878179996000494E-2</c:v>
                </c:pt>
                <c:pt idx="32">
                  <c:v>1.5343123120875509E-2</c:v>
                </c:pt>
                <c:pt idx="33">
                  <c:v>1.5808066245750523E-2</c:v>
                </c:pt>
                <c:pt idx="34">
                  <c:v>1.6273009370625539E-2</c:v>
                </c:pt>
                <c:pt idx="35">
                  <c:v>1.6737952495500554E-2</c:v>
                </c:pt>
                <c:pt idx="36">
                  <c:v>1.720289562037557E-2</c:v>
                </c:pt>
                <c:pt idx="37">
                  <c:v>1.7667838745250585E-2</c:v>
                </c:pt>
                <c:pt idx="38">
                  <c:v>1.8132781870125601E-2</c:v>
                </c:pt>
                <c:pt idx="39">
                  <c:v>1.8597724995000616E-2</c:v>
                </c:pt>
                <c:pt idx="40">
                  <c:v>1.9062668119875632E-2</c:v>
                </c:pt>
                <c:pt idx="41">
                  <c:v>1.9527611244750647E-2</c:v>
                </c:pt>
                <c:pt idx="42">
                  <c:v>1.9992554369625663E-2</c:v>
                </c:pt>
                <c:pt idx="43">
                  <c:v>2.0457497494500678E-2</c:v>
                </c:pt>
                <c:pt idx="44">
                  <c:v>2.0922440619375694E-2</c:v>
                </c:pt>
                <c:pt idx="45">
                  <c:v>2.1387383744250709E-2</c:v>
                </c:pt>
                <c:pt idx="46">
                  <c:v>2.1852326869125725E-2</c:v>
                </c:pt>
                <c:pt idx="47">
                  <c:v>2.231726999400074E-2</c:v>
                </c:pt>
                <c:pt idx="48">
                  <c:v>2.2782213118875756E-2</c:v>
                </c:pt>
                <c:pt idx="49">
                  <c:v>2.3247156243750771E-2</c:v>
                </c:pt>
                <c:pt idx="50">
                  <c:v>2.3712099368625787E-2</c:v>
                </c:pt>
                <c:pt idx="51">
                  <c:v>2.4177042493500802E-2</c:v>
                </c:pt>
                <c:pt idx="52">
                  <c:v>2.4641985618375817E-2</c:v>
                </c:pt>
                <c:pt idx="53">
                  <c:v>2.5106928743250833E-2</c:v>
                </c:pt>
                <c:pt idx="54">
                  <c:v>2.5571871868125848E-2</c:v>
                </c:pt>
                <c:pt idx="55">
                  <c:v>2.6036814993000864E-2</c:v>
                </c:pt>
                <c:pt idx="56">
                  <c:v>2.6501758117875879E-2</c:v>
                </c:pt>
                <c:pt idx="57">
                  <c:v>2.6966701242750895E-2</c:v>
                </c:pt>
                <c:pt idx="58">
                  <c:v>2.743164436762591E-2</c:v>
                </c:pt>
                <c:pt idx="59">
                  <c:v>2.7896587492500926E-2</c:v>
                </c:pt>
                <c:pt idx="60">
                  <c:v>2.8361530617375941E-2</c:v>
                </c:pt>
                <c:pt idx="61">
                  <c:v>2.8826473742250957E-2</c:v>
                </c:pt>
                <c:pt idx="62">
                  <c:v>2.9291416867125972E-2</c:v>
                </c:pt>
                <c:pt idx="63">
                  <c:v>2.9756359992000988E-2</c:v>
                </c:pt>
                <c:pt idx="64">
                  <c:v>3.0221303116876003E-2</c:v>
                </c:pt>
                <c:pt idx="65">
                  <c:v>3.0686246241751019E-2</c:v>
                </c:pt>
                <c:pt idx="66">
                  <c:v>3.1151189366626034E-2</c:v>
                </c:pt>
                <c:pt idx="67">
                  <c:v>3.1616132491501046E-2</c:v>
                </c:pt>
                <c:pt idx="68">
                  <c:v>3.2081075616376062E-2</c:v>
                </c:pt>
                <c:pt idx="69">
                  <c:v>3.2546018741251077E-2</c:v>
                </c:pt>
                <c:pt idx="70">
                  <c:v>3.3010961866126093E-2</c:v>
                </c:pt>
                <c:pt idx="71">
                  <c:v>3.3475904991001108E-2</c:v>
                </c:pt>
                <c:pt idx="72">
                  <c:v>3.3940848115876124E-2</c:v>
                </c:pt>
                <c:pt idx="73">
                  <c:v>3.4405791240751139E-2</c:v>
                </c:pt>
                <c:pt idx="74">
                  <c:v>3.4870734365626155E-2</c:v>
                </c:pt>
                <c:pt idx="75">
                  <c:v>3.533567749050117E-2</c:v>
                </c:pt>
                <c:pt idx="76">
                  <c:v>3.5800620615376186E-2</c:v>
                </c:pt>
                <c:pt idx="77">
                  <c:v>3.6265563740251201E-2</c:v>
                </c:pt>
                <c:pt idx="78">
                  <c:v>3.6730506865126217E-2</c:v>
                </c:pt>
                <c:pt idx="79">
                  <c:v>3.7195449990001232E-2</c:v>
                </c:pt>
                <c:pt idx="80">
                  <c:v>3.7660393114876248E-2</c:v>
                </c:pt>
                <c:pt idx="81">
                  <c:v>3.8125336239751263E-2</c:v>
                </c:pt>
                <c:pt idx="82">
                  <c:v>3.8590279364626279E-2</c:v>
                </c:pt>
                <c:pt idx="83">
                  <c:v>3.9055222489501294E-2</c:v>
                </c:pt>
                <c:pt idx="84">
                  <c:v>3.952016561437631E-2</c:v>
                </c:pt>
                <c:pt idx="85">
                  <c:v>3.9985108739251325E-2</c:v>
                </c:pt>
                <c:pt idx="86">
                  <c:v>4.0450051864126341E-2</c:v>
                </c:pt>
                <c:pt idx="87">
                  <c:v>4.0914994989001356E-2</c:v>
                </c:pt>
                <c:pt idx="88">
                  <c:v>4.1379938113876372E-2</c:v>
                </c:pt>
                <c:pt idx="89">
                  <c:v>4.1844881238751387E-2</c:v>
                </c:pt>
                <c:pt idx="90">
                  <c:v>4.2309824363626403E-2</c:v>
                </c:pt>
                <c:pt idx="91">
                  <c:v>4.2774767488501418E-2</c:v>
                </c:pt>
                <c:pt idx="92">
                  <c:v>4.3239710613376434E-2</c:v>
                </c:pt>
                <c:pt idx="93">
                  <c:v>4.3704653738251449E-2</c:v>
                </c:pt>
                <c:pt idx="94">
                  <c:v>4.4169596863126465E-2</c:v>
                </c:pt>
                <c:pt idx="95">
                  <c:v>4.463453998800148E-2</c:v>
                </c:pt>
                <c:pt idx="96">
                  <c:v>4.5099483112876496E-2</c:v>
                </c:pt>
                <c:pt idx="97">
                  <c:v>4.5564426237751511E-2</c:v>
                </c:pt>
                <c:pt idx="98">
                  <c:v>4.6029369362626527E-2</c:v>
                </c:pt>
                <c:pt idx="99">
                  <c:v>4.6494312487501542E-2</c:v>
                </c:pt>
              </c:numCache>
            </c:numRef>
          </c:xVal>
          <c:yVal>
            <c:numRef>
              <c:f>STAT!$G$201:$G$300</c:f>
              <c:numCache>
                <c:formatCode>General</c:formatCode>
                <c:ptCount val="100"/>
                <c:pt idx="0">
                  <c:v>15.09174623223341</c:v>
                </c:pt>
                <c:pt idx="1">
                  <c:v>15.730597575269231</c:v>
                </c:pt>
                <c:pt idx="2">
                  <c:v>16.375831586482899</c:v>
                </c:pt>
                <c:pt idx="3">
                  <c:v>17.026050645053342</c:v>
                </c:pt>
                <c:pt idx="4">
                  <c:v>17.679781517845619</c:v>
                </c:pt>
                <c:pt idx="5">
                  <c:v>18.335479927930393</c:v>
                </c:pt>
                <c:pt idx="6">
                  <c:v>18.991535757450933</c:v>
                </c:pt>
                <c:pt idx="7">
                  <c:v>19.646278869122192</c:v>
                </c:pt>
                <c:pt idx="8">
                  <c:v>20.29798552450012</c:v>
                </c:pt>
                <c:pt idx="9">
                  <c:v>20.944885371009551</c:v>
                </c:pt>
                <c:pt idx="10">
                  <c:v>21.585168963636217</c:v>
                </c:pt>
                <c:pt idx="11">
                  <c:v>22.216995781245483</c:v>
                </c:pt>
                <c:pt idx="12">
                  <c:v>22.838502691760215</c:v>
                </c:pt>
                <c:pt idx="13">
                  <c:v>23.44781281498534</c:v>
                </c:pt>
                <c:pt idx="14">
                  <c:v>24.043044726779691</c:v>
                </c:pt>
                <c:pt idx="15">
                  <c:v>24.622321943614253</c:v>
                </c:pt>
                <c:pt idx="16">
                  <c:v>25.18378262238727</c:v>
                </c:pt>
                <c:pt idx="17">
                  <c:v>25.725589406750828</c:v>
                </c:pt>
                <c:pt idx="18">
                  <c:v>26.24593934819719</c:v>
                </c:pt>
                <c:pt idx="19">
                  <c:v>26.743073827805588</c:v>
                </c:pt>
                <c:pt idx="20">
                  <c:v>27.215288402903457</c:v>
                </c:pt>
                <c:pt idx="21">
                  <c:v>27.66094250198498</c:v>
                </c:pt>
                <c:pt idx="22">
                  <c:v>28.078468891080067</c:v>
                </c:pt>
                <c:pt idx="23">
                  <c:v>28.466382835394576</c:v>
                </c:pt>
                <c:pt idx="24">
                  <c:v>28.823290881455467</c:v>
                </c:pt>
                <c:pt idx="25">
                  <c:v>29.147899187189363</c:v>
                </c:pt>
                <c:pt idx="26">
                  <c:v>29.43902133032725</c:v>
                </c:pt>
                <c:pt idx="27">
                  <c:v>29.695585529238631</c:v>
                </c:pt>
                <c:pt idx="28">
                  <c:v>29.916641214723469</c:v>
                </c:pt>
                <c:pt idx="29">
                  <c:v>30.101364896387381</c:v>
                </c:pt>
                <c:pt idx="30">
                  <c:v>30.249065272943881</c:v>
                </c:pt>
                <c:pt idx="31">
                  <c:v>30.359187542068131</c:v>
                </c:pt>
                <c:pt idx="32">
                  <c:v>30.431316872202125</c:v>
                </c:pt>
                <c:pt idx="33">
                  <c:v>30.465181005908718</c:v>
                </c:pt>
                <c:pt idx="34">
                  <c:v>30.460651971911165</c:v>
                </c:pt>
                <c:pt idx="35">
                  <c:v>30.417746890752351</c:v>
                </c:pt>
                <c:pt idx="36">
                  <c:v>30.336627866975622</c:v>
                </c:pt>
                <c:pt idx="37">
                  <c:v>30.217600968777596</c:v>
                </c:pt>
                <c:pt idx="38">
                  <c:v>30.061114304120437</c:v>
                </c:pt>
                <c:pt idx="39">
                  <c:v>29.867755210227077</c:v>
                </c:pt>
                <c:pt idx="40">
                  <c:v>29.638246581127049</c:v>
                </c:pt>
                <c:pt idx="41">
                  <c:v>29.373442365386872</c:v>
                </c:pt>
                <c:pt idx="42">
                  <c:v>29.074322273263611</c:v>
                </c:pt>
                <c:pt idx="43">
                  <c:v>28.74198573918563</c:v>
                </c:pt>
                <c:pt idx="44">
                  <c:v>28.377645191618171</c:v>
                </c:pt>
                <c:pt idx="45">
                  <c:v>27.982618687948477</c:v>
                </c:pt>
                <c:pt idx="46">
                  <c:v>27.558321976967861</c:v>
                </c:pt>
                <c:pt idx="47">
                  <c:v>27.106260055788209</c:v>
                </c:pt>
                <c:pt idx="48">
                  <c:v>26.628018291567514</c:v>
                </c:pt>
                <c:pt idx="49">
                  <c:v>26.125253181203572</c:v>
                </c:pt>
                <c:pt idx="50">
                  <c:v>25.599682824165988</c:v>
                </c:pt>
                <c:pt idx="51">
                  <c:v>25.053077184864392</c:v>
                </c:pt>
                <c:pt idx="52">
                  <c:v>24.487248221394051</c:v>
                </c:pt>
                <c:pt idx="53">
                  <c:v>23.904039957168926</c:v>
                </c:pt>
                <c:pt idx="54">
                  <c:v>23.305318570864912</c:v>
                </c:pt>
                <c:pt idx="55">
                  <c:v>22.692962578280749</c:v>
                </c:pt>
                <c:pt idx="56">
                  <c:v>22.068853177216919</c:v>
                </c:pt>
                <c:pt idx="57">
                  <c:v>21.434864823318101</c:v>
                </c:pt>
                <c:pt idx="58">
                  <c:v>20.792856101073355</c:v>
                </c:pt>
                <c:pt idx="59">
                  <c:v>20.144660949877547</c:v>
                </c:pt>
                <c:pt idx="60">
                  <c:v>19.492080300289626</c:v>
                </c:pt>
                <c:pt idx="61">
                  <c:v>18.836874170445782</c:v>
                </c:pt>
                <c:pt idx="62">
                  <c:v>18.180754267066689</c:v>
                </c:pt>
                <c:pt idx="63">
                  <c:v>17.52537712971127</c:v>
                </c:pt>
                <c:pt idx="64">
                  <c:v>16.872337850946696</c:v>
                </c:pt>
                <c:pt idx="65">
                  <c:v>16.223164398999526</c:v>
                </c:pt>
                <c:pt idx="66">
                  <c:v>15.579312563297208</c:v>
                </c:pt>
                <c:pt idx="67">
                  <c:v>14.942161537174217</c:v>
                </c:pt>
                <c:pt idx="68">
                  <c:v>14.313010145968601</c:v>
                </c:pt>
                <c:pt idx="69">
                  <c:v>13.693073722838411</c:v>
                </c:pt>
                <c:pt idx="70">
                  <c:v>13.083481628941232</c:v>
                </c:pt>
                <c:pt idx="71">
                  <c:v>12.485275409199932</c:v>
                </c:pt>
                <c:pt idx="72">
                  <c:v>11.899407569771627</c:v>
                </c:pt>
                <c:pt idx="73">
                  <c:v>11.326740958588788</c:v>
                </c:pt>
                <c:pt idx="74">
                  <c:v>10.768048725987756</c:v>
                </c:pt>
                <c:pt idx="75">
                  <c:v>10.224014838511508</c:v>
                </c:pt>
                <c:pt idx="76">
                  <c:v>9.6952351154934764</c:v>
                </c:pt>
                <c:pt idx="77">
                  <c:v>9.1822187550155228</c:v>
                </c:pt>
                <c:pt idx="78">
                  <c:v>8.6853903132958283</c:v>
                </c:pt>
                <c:pt idx="79">
                  <c:v>8.2050920995058565</c:v>
                </c:pt>
                <c:pt idx="80">
                  <c:v>7.7415869464380149</c:v>
                </c:pt>
                <c:pt idx="81">
                  <c:v>7.2950613163393134</c:v>
                </c:pt>
                <c:pt idx="82">
                  <c:v>6.8656287005782657</c:v>
                </c:pt>
                <c:pt idx="83">
                  <c:v>6.4533332716046887</c:v>
                </c:pt>
                <c:pt idx="84">
                  <c:v>6.0581537458723886</c:v>
                </c:pt>
                <c:pt idx="85">
                  <c:v>5.6800074169971282</c:v>
                </c:pt>
                <c:pt idx="86">
                  <c:v>5.3187543193869962</c:v>
                </c:pt>
                <c:pt idx="87">
                  <c:v>4.9742014838775406</c:v>
                </c:pt>
                <c:pt idx="88">
                  <c:v>4.6461072484951247</c:v>
                </c:pt>
                <c:pt idx="89">
                  <c:v>4.3341855893237309</c:v>
                </c:pt>
                <c:pt idx="90">
                  <c:v>4.0381104385255844</c:v>
                </c:pt>
                <c:pt idx="91">
                  <c:v>3.7575199588279249</c:v>
                </c:pt>
                <c:pt idx="92">
                  <c:v>3.4920207461995831</c:v>
                </c:pt>
                <c:pt idx="93">
                  <c:v>3.2411919349659755</c:v>
                </c:pt>
                <c:pt idx="94">
                  <c:v>3.0045891822137394</c:v>
                </c:pt>
                <c:pt idx="95">
                  <c:v>2.781748510983197</c:v>
                </c:pt>
                <c:pt idx="96">
                  <c:v>2.5721899944060924</c:v>
                </c:pt>
                <c:pt idx="97">
                  <c:v>2.3754212655873057</c:v>
                </c:pt>
                <c:pt idx="98">
                  <c:v>2.1909408406254425</c:v>
                </c:pt>
                <c:pt idx="99">
                  <c:v>2.0182412446931965</c:v>
                </c:pt>
              </c:numCache>
            </c:numRef>
          </c:yVal>
          <c:smooth val="0"/>
          <c:extLst>
            <c:ext xmlns:c16="http://schemas.microsoft.com/office/drawing/2014/chart" uri="{C3380CC4-5D6E-409C-BE32-E72D297353CC}">
              <c16:uniqueId val="{0000000D-1AD6-124F-9BD0-6E0EA8592112}"/>
            </c:ext>
          </c:extLst>
        </c:ser>
        <c:ser>
          <c:idx val="6"/>
          <c:order val="1"/>
          <c:spPr>
            <a:ln w="12700">
              <a:solidFill>
                <a:srgbClr val="000000"/>
              </a:solidFill>
              <a:prstDash val="solid"/>
            </a:ln>
          </c:spPr>
          <c:marker>
            <c:symbol val="none"/>
          </c:marker>
          <c:xVal>
            <c:numRef>
              <c:f>STAT!$AC$209:$AC$210</c:f>
              <c:numCache>
                <c:formatCode>General</c:formatCode>
                <c:ptCount val="2"/>
                <c:pt idx="0" formatCode="0.00">
                  <c:v>2.0457033409089678E-2</c:v>
                </c:pt>
                <c:pt idx="1">
                  <c:v>2.0457033409089678E-2</c:v>
                </c:pt>
              </c:numCache>
            </c:numRef>
          </c:xVal>
          <c:yVal>
            <c:numRef>
              <c:f>STAT!$AD$209:$AD$210</c:f>
              <c:numCache>
                <c:formatCode>General</c:formatCode>
                <c:ptCount val="2"/>
                <c:pt idx="0">
                  <c:v>0</c:v>
                </c:pt>
                <c:pt idx="1">
                  <c:v>30.465181005908718</c:v>
                </c:pt>
              </c:numCache>
            </c:numRef>
          </c:yVal>
          <c:smooth val="0"/>
          <c:extLst>
            <c:ext xmlns:c16="http://schemas.microsoft.com/office/drawing/2014/chart" uri="{C3380CC4-5D6E-409C-BE32-E72D297353CC}">
              <c16:uniqueId val="{0000000E-1AD6-124F-9BD0-6E0EA8592112}"/>
            </c:ext>
          </c:extLst>
        </c:ser>
        <c:ser>
          <c:idx val="7"/>
          <c:order val="2"/>
          <c:spPr>
            <a:ln w="12700">
              <a:solidFill>
                <a:srgbClr val="0000FF"/>
              </a:solidFill>
              <a:prstDash val="solid"/>
            </a:ln>
          </c:spPr>
          <c:marker>
            <c:symbol val="none"/>
          </c:marker>
          <c:xVal>
            <c:numRef>
              <c:f>STAT!$AE$209:$AE$210</c:f>
              <c:numCache>
                <c:formatCode>General</c:formatCode>
                <c:ptCount val="2"/>
                <c:pt idx="0" formatCode="0.00">
                  <c:v>3.8910705195799408E-2</c:v>
                </c:pt>
                <c:pt idx="1">
                  <c:v>3.8910705195799408E-2</c:v>
                </c:pt>
              </c:numCache>
            </c:numRef>
          </c:xVal>
          <c:yVal>
            <c:numRef>
              <c:f>STAT!$AF$209:$AF$210</c:f>
              <c:numCache>
                <c:formatCode>General</c:formatCode>
                <c:ptCount val="2"/>
                <c:pt idx="0">
                  <c:v>0</c:v>
                </c:pt>
                <c:pt idx="1">
                  <c:v>30.465181005908718</c:v>
                </c:pt>
              </c:numCache>
            </c:numRef>
          </c:yVal>
          <c:smooth val="0"/>
          <c:extLst>
            <c:ext xmlns:c16="http://schemas.microsoft.com/office/drawing/2014/chart" uri="{C3380CC4-5D6E-409C-BE32-E72D297353CC}">
              <c16:uniqueId val="{0000000F-1AD6-124F-9BD0-6E0EA8592112}"/>
            </c:ext>
          </c:extLst>
        </c:ser>
        <c:ser>
          <c:idx val="8"/>
          <c:order val="3"/>
          <c:spPr>
            <a:ln w="3175">
              <a:solidFill>
                <a:srgbClr val="000000"/>
              </a:solidFill>
              <a:prstDash val="lgDashDot"/>
            </a:ln>
          </c:spPr>
          <c:marker>
            <c:symbol val="none"/>
          </c:marker>
          <c:xVal>
            <c:numRef>
              <c:f>STAT!$AG$209:$AG$210</c:f>
              <c:numCache>
                <c:formatCode>General</c:formatCode>
                <c:ptCount val="2"/>
                <c:pt idx="0" formatCode="0.00">
                  <c:v>3.4755244661796775E-2</c:v>
                </c:pt>
                <c:pt idx="1">
                  <c:v>3.4755244661796775E-2</c:v>
                </c:pt>
              </c:numCache>
            </c:numRef>
          </c:xVal>
          <c:yVal>
            <c:numRef>
              <c:f>STAT!$AH$209:$AH$210</c:f>
              <c:numCache>
                <c:formatCode>General</c:formatCode>
                <c:ptCount val="2"/>
                <c:pt idx="0">
                  <c:v>0</c:v>
                </c:pt>
                <c:pt idx="1">
                  <c:v>30.465181005908718</c:v>
                </c:pt>
              </c:numCache>
            </c:numRef>
          </c:yVal>
          <c:smooth val="0"/>
          <c:extLst>
            <c:ext xmlns:c16="http://schemas.microsoft.com/office/drawing/2014/chart" uri="{C3380CC4-5D6E-409C-BE32-E72D297353CC}">
              <c16:uniqueId val="{00000010-1AD6-124F-9BD0-6E0EA8592112}"/>
            </c:ext>
          </c:extLst>
        </c:ser>
        <c:ser>
          <c:idx val="9"/>
          <c:order val="4"/>
          <c:spPr>
            <a:ln w="3175">
              <a:solidFill>
                <a:srgbClr val="000000"/>
              </a:solidFill>
              <a:prstDash val="lgDashDot"/>
            </a:ln>
          </c:spPr>
          <c:marker>
            <c:symbol val="none"/>
          </c:marker>
          <c:xVal>
            <c:numRef>
              <c:f>STAT!$AI$208:$AI$209</c:f>
              <c:numCache>
                <c:formatCode>General</c:formatCode>
                <c:ptCount val="2"/>
              </c:numCache>
            </c:numRef>
          </c:xVal>
          <c:yVal>
            <c:numRef>
              <c:f>STAT!$AJ$208:$AJ$209</c:f>
              <c:numCache>
                <c:formatCode>General</c:formatCode>
                <c:ptCount val="2"/>
              </c:numCache>
            </c:numRef>
          </c:yVal>
          <c:smooth val="0"/>
          <c:extLst>
            <c:ext xmlns:c16="http://schemas.microsoft.com/office/drawing/2014/chart" uri="{C3380CC4-5D6E-409C-BE32-E72D297353CC}">
              <c16:uniqueId val="{00000011-1AD6-124F-9BD0-6E0EA8592112}"/>
            </c:ext>
          </c:extLst>
        </c:ser>
        <c:ser>
          <c:idx val="0"/>
          <c:order val="5"/>
          <c:spPr>
            <a:ln w="12700">
              <a:solidFill>
                <a:srgbClr val="FF0000"/>
              </a:solidFill>
              <a:prstDash val="solid"/>
            </a:ln>
          </c:spPr>
          <c:marker>
            <c:symbol val="none"/>
          </c:marker>
          <c:xVal>
            <c:numRef>
              <c:f>STAT!$F$201:$F$300</c:f>
              <c:numCache>
                <c:formatCode>General</c:formatCode>
                <c:ptCount val="100"/>
                <c:pt idx="0">
                  <c:v>4.6494312487501533E-4</c:v>
                </c:pt>
                <c:pt idx="1">
                  <c:v>9.2988624975003065E-4</c:v>
                </c:pt>
                <c:pt idx="2">
                  <c:v>1.394829374625046E-3</c:v>
                </c:pt>
                <c:pt idx="3">
                  <c:v>1.8597724995000613E-3</c:v>
                </c:pt>
                <c:pt idx="4">
                  <c:v>2.3247156243750766E-3</c:v>
                </c:pt>
                <c:pt idx="5">
                  <c:v>2.7896587492500921E-3</c:v>
                </c:pt>
                <c:pt idx="6">
                  <c:v>3.2546018741251076E-3</c:v>
                </c:pt>
                <c:pt idx="7">
                  <c:v>3.7195449990001231E-3</c:v>
                </c:pt>
                <c:pt idx="8">
                  <c:v>4.1844881238751385E-3</c:v>
                </c:pt>
                <c:pt idx="9">
                  <c:v>4.649431248750154E-3</c:v>
                </c:pt>
                <c:pt idx="10">
                  <c:v>5.1143743736251695E-3</c:v>
                </c:pt>
                <c:pt idx="11">
                  <c:v>5.579317498500185E-3</c:v>
                </c:pt>
                <c:pt idx="12">
                  <c:v>6.0442606233752005E-3</c:v>
                </c:pt>
                <c:pt idx="13">
                  <c:v>6.509203748250216E-3</c:v>
                </c:pt>
                <c:pt idx="14">
                  <c:v>6.9741468731252315E-3</c:v>
                </c:pt>
                <c:pt idx="15">
                  <c:v>7.439089998000247E-3</c:v>
                </c:pt>
                <c:pt idx="16">
                  <c:v>7.9040331228752616E-3</c:v>
                </c:pt>
                <c:pt idx="17">
                  <c:v>8.3689762477502771E-3</c:v>
                </c:pt>
                <c:pt idx="18">
                  <c:v>8.8339193726252926E-3</c:v>
                </c:pt>
                <c:pt idx="19">
                  <c:v>9.2988624975003081E-3</c:v>
                </c:pt>
                <c:pt idx="20">
                  <c:v>9.7638056223753236E-3</c:v>
                </c:pt>
                <c:pt idx="21">
                  <c:v>1.0228748747250339E-2</c:v>
                </c:pt>
                <c:pt idx="22">
                  <c:v>1.0693691872125355E-2</c:v>
                </c:pt>
                <c:pt idx="23">
                  <c:v>1.115863499700037E-2</c:v>
                </c:pt>
                <c:pt idx="24">
                  <c:v>1.1623578121875386E-2</c:v>
                </c:pt>
                <c:pt idx="25">
                  <c:v>1.2088521246750401E-2</c:v>
                </c:pt>
                <c:pt idx="26">
                  <c:v>1.2553464371625416E-2</c:v>
                </c:pt>
                <c:pt idx="27">
                  <c:v>1.3018407496500432E-2</c:v>
                </c:pt>
                <c:pt idx="28">
                  <c:v>1.3483350621375447E-2</c:v>
                </c:pt>
                <c:pt idx="29">
                  <c:v>1.3948293746250463E-2</c:v>
                </c:pt>
                <c:pt idx="30">
                  <c:v>1.4413236871125478E-2</c:v>
                </c:pt>
                <c:pt idx="31">
                  <c:v>1.4878179996000494E-2</c:v>
                </c:pt>
                <c:pt idx="32">
                  <c:v>1.5343123120875509E-2</c:v>
                </c:pt>
                <c:pt idx="33">
                  <c:v>1.5808066245750523E-2</c:v>
                </c:pt>
                <c:pt idx="34">
                  <c:v>1.6273009370625539E-2</c:v>
                </c:pt>
                <c:pt idx="35">
                  <c:v>1.6737952495500554E-2</c:v>
                </c:pt>
                <c:pt idx="36">
                  <c:v>1.720289562037557E-2</c:v>
                </c:pt>
                <c:pt idx="37">
                  <c:v>1.7667838745250585E-2</c:v>
                </c:pt>
                <c:pt idx="38">
                  <c:v>1.8132781870125601E-2</c:v>
                </c:pt>
                <c:pt idx="39">
                  <c:v>1.8597724995000616E-2</c:v>
                </c:pt>
                <c:pt idx="40">
                  <c:v>1.9062668119875632E-2</c:v>
                </c:pt>
                <c:pt idx="41">
                  <c:v>1.9527611244750647E-2</c:v>
                </c:pt>
                <c:pt idx="42">
                  <c:v>1.9992554369625663E-2</c:v>
                </c:pt>
                <c:pt idx="43">
                  <c:v>2.0457497494500678E-2</c:v>
                </c:pt>
                <c:pt idx="44">
                  <c:v>2.0922440619375694E-2</c:v>
                </c:pt>
                <c:pt idx="45">
                  <c:v>2.1387383744250709E-2</c:v>
                </c:pt>
                <c:pt idx="46">
                  <c:v>2.1852326869125725E-2</c:v>
                </c:pt>
                <c:pt idx="47">
                  <c:v>2.231726999400074E-2</c:v>
                </c:pt>
                <c:pt idx="48">
                  <c:v>2.2782213118875756E-2</c:v>
                </c:pt>
                <c:pt idx="49">
                  <c:v>2.3247156243750771E-2</c:v>
                </c:pt>
                <c:pt idx="50">
                  <c:v>2.3712099368625787E-2</c:v>
                </c:pt>
                <c:pt idx="51">
                  <c:v>2.4177042493500802E-2</c:v>
                </c:pt>
                <c:pt idx="52">
                  <c:v>2.4641985618375817E-2</c:v>
                </c:pt>
                <c:pt idx="53">
                  <c:v>2.5106928743250833E-2</c:v>
                </c:pt>
                <c:pt idx="54">
                  <c:v>2.5571871868125848E-2</c:v>
                </c:pt>
                <c:pt idx="55">
                  <c:v>2.6036814993000864E-2</c:v>
                </c:pt>
                <c:pt idx="56">
                  <c:v>2.6501758117875879E-2</c:v>
                </c:pt>
                <c:pt idx="57">
                  <c:v>2.6966701242750895E-2</c:v>
                </c:pt>
                <c:pt idx="58">
                  <c:v>2.743164436762591E-2</c:v>
                </c:pt>
                <c:pt idx="59">
                  <c:v>2.7896587492500926E-2</c:v>
                </c:pt>
                <c:pt idx="60">
                  <c:v>2.8361530617375941E-2</c:v>
                </c:pt>
                <c:pt idx="61">
                  <c:v>2.8826473742250957E-2</c:v>
                </c:pt>
                <c:pt idx="62">
                  <c:v>2.9291416867125972E-2</c:v>
                </c:pt>
                <c:pt idx="63">
                  <c:v>2.9756359992000988E-2</c:v>
                </c:pt>
                <c:pt idx="64">
                  <c:v>3.0221303116876003E-2</c:v>
                </c:pt>
                <c:pt idx="65">
                  <c:v>3.0686246241751019E-2</c:v>
                </c:pt>
                <c:pt idx="66">
                  <c:v>3.1151189366626034E-2</c:v>
                </c:pt>
                <c:pt idx="67">
                  <c:v>3.1616132491501046E-2</c:v>
                </c:pt>
                <c:pt idx="68">
                  <c:v>3.2081075616376062E-2</c:v>
                </c:pt>
                <c:pt idx="69">
                  <c:v>3.2546018741251077E-2</c:v>
                </c:pt>
                <c:pt idx="70">
                  <c:v>3.3010961866126093E-2</c:v>
                </c:pt>
                <c:pt idx="71">
                  <c:v>3.3475904991001108E-2</c:v>
                </c:pt>
                <c:pt idx="72">
                  <c:v>3.3940848115876124E-2</c:v>
                </c:pt>
                <c:pt idx="73">
                  <c:v>3.4405791240751139E-2</c:v>
                </c:pt>
                <c:pt idx="74">
                  <c:v>3.4870734365626155E-2</c:v>
                </c:pt>
                <c:pt idx="75">
                  <c:v>3.533567749050117E-2</c:v>
                </c:pt>
                <c:pt idx="76">
                  <c:v>3.5800620615376186E-2</c:v>
                </c:pt>
                <c:pt idx="77">
                  <c:v>3.6265563740251201E-2</c:v>
                </c:pt>
                <c:pt idx="78">
                  <c:v>3.6730506865126217E-2</c:v>
                </c:pt>
                <c:pt idx="79">
                  <c:v>3.7195449990001232E-2</c:v>
                </c:pt>
                <c:pt idx="80">
                  <c:v>3.7660393114876248E-2</c:v>
                </c:pt>
                <c:pt idx="81">
                  <c:v>3.8125336239751263E-2</c:v>
                </c:pt>
                <c:pt idx="82">
                  <c:v>3.8590279364626279E-2</c:v>
                </c:pt>
                <c:pt idx="83">
                  <c:v>3.9055222489501294E-2</c:v>
                </c:pt>
                <c:pt idx="84">
                  <c:v>3.952016561437631E-2</c:v>
                </c:pt>
                <c:pt idx="85">
                  <c:v>3.9985108739251325E-2</c:v>
                </c:pt>
                <c:pt idx="86">
                  <c:v>4.0450051864126341E-2</c:v>
                </c:pt>
                <c:pt idx="87">
                  <c:v>4.0914994989001356E-2</c:v>
                </c:pt>
                <c:pt idx="88">
                  <c:v>4.1379938113876372E-2</c:v>
                </c:pt>
                <c:pt idx="89">
                  <c:v>4.1844881238751387E-2</c:v>
                </c:pt>
                <c:pt idx="90">
                  <c:v>4.2309824363626403E-2</c:v>
                </c:pt>
                <c:pt idx="91">
                  <c:v>4.2774767488501418E-2</c:v>
                </c:pt>
                <c:pt idx="92">
                  <c:v>4.3239710613376434E-2</c:v>
                </c:pt>
                <c:pt idx="93">
                  <c:v>4.3704653738251449E-2</c:v>
                </c:pt>
                <c:pt idx="94">
                  <c:v>4.4169596863126465E-2</c:v>
                </c:pt>
                <c:pt idx="95">
                  <c:v>4.463453998800148E-2</c:v>
                </c:pt>
                <c:pt idx="96">
                  <c:v>4.5099483112876496E-2</c:v>
                </c:pt>
                <c:pt idx="97">
                  <c:v>4.5564426237751511E-2</c:v>
                </c:pt>
                <c:pt idx="98">
                  <c:v>4.6029369362626527E-2</c:v>
                </c:pt>
                <c:pt idx="99">
                  <c:v>4.6494312487501542E-2</c:v>
                </c:pt>
              </c:numCache>
            </c:numRef>
          </c:xVal>
          <c:yVal>
            <c:numRef>
              <c:f>STAT!$G$201:$G$300</c:f>
              <c:numCache>
                <c:formatCode>General</c:formatCode>
                <c:ptCount val="100"/>
                <c:pt idx="0">
                  <c:v>15.09174623223341</c:v>
                </c:pt>
                <c:pt idx="1">
                  <c:v>15.730597575269231</c:v>
                </c:pt>
                <c:pt idx="2">
                  <c:v>16.375831586482899</c:v>
                </c:pt>
                <c:pt idx="3">
                  <c:v>17.026050645053342</c:v>
                </c:pt>
                <c:pt idx="4">
                  <c:v>17.679781517845619</c:v>
                </c:pt>
                <c:pt idx="5">
                  <c:v>18.335479927930393</c:v>
                </c:pt>
                <c:pt idx="6">
                  <c:v>18.991535757450933</c:v>
                </c:pt>
                <c:pt idx="7">
                  <c:v>19.646278869122192</c:v>
                </c:pt>
                <c:pt idx="8">
                  <c:v>20.29798552450012</c:v>
                </c:pt>
                <c:pt idx="9">
                  <c:v>20.944885371009551</c:v>
                </c:pt>
                <c:pt idx="10">
                  <c:v>21.585168963636217</c:v>
                </c:pt>
                <c:pt idx="11">
                  <c:v>22.216995781245483</c:v>
                </c:pt>
                <c:pt idx="12">
                  <c:v>22.838502691760215</c:v>
                </c:pt>
                <c:pt idx="13">
                  <c:v>23.44781281498534</c:v>
                </c:pt>
                <c:pt idx="14">
                  <c:v>24.043044726779691</c:v>
                </c:pt>
                <c:pt idx="15">
                  <c:v>24.622321943614253</c:v>
                </c:pt>
                <c:pt idx="16">
                  <c:v>25.18378262238727</c:v>
                </c:pt>
                <c:pt idx="17">
                  <c:v>25.725589406750828</c:v>
                </c:pt>
                <c:pt idx="18">
                  <c:v>26.24593934819719</c:v>
                </c:pt>
                <c:pt idx="19">
                  <c:v>26.743073827805588</c:v>
                </c:pt>
                <c:pt idx="20">
                  <c:v>27.215288402903457</c:v>
                </c:pt>
                <c:pt idx="21">
                  <c:v>27.66094250198498</c:v>
                </c:pt>
                <c:pt idx="22">
                  <c:v>28.078468891080067</c:v>
                </c:pt>
                <c:pt idx="23">
                  <c:v>28.466382835394576</c:v>
                </c:pt>
                <c:pt idx="24">
                  <c:v>28.823290881455467</c:v>
                </c:pt>
                <c:pt idx="25">
                  <c:v>29.147899187189363</c:v>
                </c:pt>
                <c:pt idx="26">
                  <c:v>29.43902133032725</c:v>
                </c:pt>
                <c:pt idx="27">
                  <c:v>29.695585529238631</c:v>
                </c:pt>
                <c:pt idx="28">
                  <c:v>29.916641214723469</c:v>
                </c:pt>
                <c:pt idx="29">
                  <c:v>30.101364896387381</c:v>
                </c:pt>
                <c:pt idx="30">
                  <c:v>30.249065272943881</c:v>
                </c:pt>
                <c:pt idx="31">
                  <c:v>30.359187542068131</c:v>
                </c:pt>
                <c:pt idx="32">
                  <c:v>30.431316872202125</c:v>
                </c:pt>
                <c:pt idx="33">
                  <c:v>30.465181005908718</c:v>
                </c:pt>
                <c:pt idx="34">
                  <c:v>30.460651971911165</c:v>
                </c:pt>
                <c:pt idx="35">
                  <c:v>30.417746890752351</c:v>
                </c:pt>
                <c:pt idx="36">
                  <c:v>30.336627866975622</c:v>
                </c:pt>
                <c:pt idx="37">
                  <c:v>30.217600968777596</c:v>
                </c:pt>
                <c:pt idx="38">
                  <c:v>30.061114304120437</c:v>
                </c:pt>
                <c:pt idx="39">
                  <c:v>29.867755210227077</c:v>
                </c:pt>
                <c:pt idx="40">
                  <c:v>29.638246581127049</c:v>
                </c:pt>
                <c:pt idx="41">
                  <c:v>29.373442365386872</c:v>
                </c:pt>
                <c:pt idx="42">
                  <c:v>29.074322273263611</c:v>
                </c:pt>
                <c:pt idx="43">
                  <c:v>28.74198573918563</c:v>
                </c:pt>
                <c:pt idx="44">
                  <c:v>28.377645191618171</c:v>
                </c:pt>
                <c:pt idx="45">
                  <c:v>27.982618687948477</c:v>
                </c:pt>
                <c:pt idx="46">
                  <c:v>27.558321976967861</c:v>
                </c:pt>
                <c:pt idx="47">
                  <c:v>27.106260055788209</c:v>
                </c:pt>
                <c:pt idx="48">
                  <c:v>26.628018291567514</c:v>
                </c:pt>
                <c:pt idx="49">
                  <c:v>26.125253181203572</c:v>
                </c:pt>
                <c:pt idx="50">
                  <c:v>25.599682824165988</c:v>
                </c:pt>
                <c:pt idx="51">
                  <c:v>25.053077184864392</c:v>
                </c:pt>
                <c:pt idx="52">
                  <c:v>24.487248221394051</c:v>
                </c:pt>
                <c:pt idx="53">
                  <c:v>23.904039957168926</c:v>
                </c:pt>
                <c:pt idx="54">
                  <c:v>23.305318570864912</c:v>
                </c:pt>
                <c:pt idx="55">
                  <c:v>22.692962578280749</c:v>
                </c:pt>
                <c:pt idx="56">
                  <c:v>22.068853177216919</c:v>
                </c:pt>
                <c:pt idx="57">
                  <c:v>21.434864823318101</c:v>
                </c:pt>
                <c:pt idx="58">
                  <c:v>20.792856101073355</c:v>
                </c:pt>
                <c:pt idx="59">
                  <c:v>20.144660949877547</c:v>
                </c:pt>
                <c:pt idx="60">
                  <c:v>19.492080300289626</c:v>
                </c:pt>
                <c:pt idx="61">
                  <c:v>18.836874170445782</c:v>
                </c:pt>
                <c:pt idx="62">
                  <c:v>18.180754267066689</c:v>
                </c:pt>
                <c:pt idx="63">
                  <c:v>17.52537712971127</c:v>
                </c:pt>
                <c:pt idx="64">
                  <c:v>16.872337850946696</c:v>
                </c:pt>
                <c:pt idx="65">
                  <c:v>16.223164398999526</c:v>
                </c:pt>
                <c:pt idx="66">
                  <c:v>15.579312563297208</c:v>
                </c:pt>
                <c:pt idx="67">
                  <c:v>14.942161537174217</c:v>
                </c:pt>
                <c:pt idx="68">
                  <c:v>14.313010145968601</c:v>
                </c:pt>
                <c:pt idx="69">
                  <c:v>13.693073722838411</c:v>
                </c:pt>
                <c:pt idx="70">
                  <c:v>13.083481628941232</c:v>
                </c:pt>
                <c:pt idx="71">
                  <c:v>12.485275409199932</c:v>
                </c:pt>
                <c:pt idx="72">
                  <c:v>11.899407569771627</c:v>
                </c:pt>
                <c:pt idx="73">
                  <c:v>11.326740958588788</c:v>
                </c:pt>
                <c:pt idx="74">
                  <c:v>10.768048725987756</c:v>
                </c:pt>
                <c:pt idx="75">
                  <c:v>10.224014838511508</c:v>
                </c:pt>
                <c:pt idx="76">
                  <c:v>9.6952351154934764</c:v>
                </c:pt>
                <c:pt idx="77">
                  <c:v>9.1822187550155228</c:v>
                </c:pt>
                <c:pt idx="78">
                  <c:v>8.6853903132958283</c:v>
                </c:pt>
                <c:pt idx="79">
                  <c:v>8.2050920995058565</c:v>
                </c:pt>
                <c:pt idx="80">
                  <c:v>7.7415869464380149</c:v>
                </c:pt>
                <c:pt idx="81">
                  <c:v>7.2950613163393134</c:v>
                </c:pt>
                <c:pt idx="82">
                  <c:v>6.8656287005782657</c:v>
                </c:pt>
                <c:pt idx="83">
                  <c:v>6.4533332716046887</c:v>
                </c:pt>
                <c:pt idx="84">
                  <c:v>6.0581537458723886</c:v>
                </c:pt>
                <c:pt idx="85">
                  <c:v>5.6800074169971282</c:v>
                </c:pt>
                <c:pt idx="86">
                  <c:v>5.3187543193869962</c:v>
                </c:pt>
                <c:pt idx="87">
                  <c:v>4.9742014838775406</c:v>
                </c:pt>
                <c:pt idx="88">
                  <c:v>4.6461072484951247</c:v>
                </c:pt>
                <c:pt idx="89">
                  <c:v>4.3341855893237309</c:v>
                </c:pt>
                <c:pt idx="90">
                  <c:v>4.0381104385255844</c:v>
                </c:pt>
                <c:pt idx="91">
                  <c:v>3.7575199588279249</c:v>
                </c:pt>
                <c:pt idx="92">
                  <c:v>3.4920207461995831</c:v>
                </c:pt>
                <c:pt idx="93">
                  <c:v>3.2411919349659755</c:v>
                </c:pt>
                <c:pt idx="94">
                  <c:v>3.0045891822137394</c:v>
                </c:pt>
                <c:pt idx="95">
                  <c:v>2.781748510983197</c:v>
                </c:pt>
                <c:pt idx="96">
                  <c:v>2.5721899944060924</c:v>
                </c:pt>
                <c:pt idx="97">
                  <c:v>2.3754212655873057</c:v>
                </c:pt>
                <c:pt idx="98">
                  <c:v>2.1909408406254425</c:v>
                </c:pt>
                <c:pt idx="99">
                  <c:v>2.0182412446931965</c:v>
                </c:pt>
              </c:numCache>
            </c:numRef>
          </c:yVal>
          <c:smooth val="0"/>
          <c:extLst>
            <c:ext xmlns:c16="http://schemas.microsoft.com/office/drawing/2014/chart" uri="{C3380CC4-5D6E-409C-BE32-E72D297353CC}">
              <c16:uniqueId val="{00000001-1AD6-124F-9BD0-6E0EA8592112}"/>
            </c:ext>
          </c:extLst>
        </c:ser>
        <c:ser>
          <c:idx val="1"/>
          <c:order val="6"/>
          <c:spPr>
            <a:ln w="12700">
              <a:solidFill>
                <a:srgbClr val="000000"/>
              </a:solidFill>
              <a:prstDash val="solid"/>
            </a:ln>
          </c:spPr>
          <c:marker>
            <c:symbol val="none"/>
          </c:marker>
          <c:dLbls>
            <c:dLbl>
              <c:idx val="1"/>
              <c:tx>
                <c:strRef>
                  <c:f>Lan!$E$160</c:f>
                  <c:strCache>
                    <c:ptCount val="1"/>
                    <c:pt idx="0">
                      <c:v>AM  (MVUE)</c:v>
                    </c:pt>
                  </c:strCache>
                </c:strRef>
              </c:tx>
              <c:spPr>
                <a:noFill/>
                <a:ln w="25400">
                  <a:noFill/>
                </a:ln>
              </c:spPr>
              <c:txPr>
                <a:bodyPr/>
                <a:lstStyle/>
                <a:p>
                  <a:pPr>
                    <a:defRPr sz="1000" b="0" i="0" u="none" strike="noStrike" baseline="0">
                      <a:solidFill>
                        <a:srgbClr val="000000"/>
                      </a:solidFill>
                      <a:latin typeface="Geneva"/>
                      <a:ea typeface="Geneva"/>
                      <a:cs typeface="Geneva"/>
                    </a:defRPr>
                  </a:pPr>
                  <a:endParaRPr lang="en-NO"/>
                </a:p>
              </c:txPr>
              <c:showLegendKey val="0"/>
              <c:showVal val="0"/>
              <c:showCatName val="0"/>
              <c:showSerName val="0"/>
              <c:showPercent val="0"/>
              <c:showBubbleSize val="0"/>
              <c:extLst>
                <c:ext xmlns:c15="http://schemas.microsoft.com/office/drawing/2012/chart" uri="{CE6537A1-D6FC-4f65-9D91-7224C49458BB}">
                  <c15:dlblFieldTable>
                    <c15:dlblFTEntry>
                      <c15:txfldGUID>{4421CB1C-40AE-7C41-8F2C-89A009CEE792}</c15:txfldGUID>
                      <c15:f>Lan!$E$160</c15:f>
                      <c15:dlblFieldTableCache>
                        <c:ptCount val="1"/>
                        <c:pt idx="0">
                          <c:v>AM  (MVUE)</c:v>
                        </c:pt>
                      </c15:dlblFieldTableCache>
                    </c15:dlblFTEntry>
                  </c15:dlblFieldTable>
                  <c15:showDataLabelsRange val="0"/>
                </c:ext>
                <c:ext xmlns:c16="http://schemas.microsoft.com/office/drawing/2014/chart" uri="{C3380CC4-5D6E-409C-BE32-E72D297353CC}">
                  <c16:uniqueId val="{00000003-1AD6-124F-9BD0-6E0EA85921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STAT!$AC$209:$AC$210</c:f>
              <c:numCache>
                <c:formatCode>General</c:formatCode>
                <c:ptCount val="2"/>
                <c:pt idx="0" formatCode="0.00">
                  <c:v>2.0457033409089678E-2</c:v>
                </c:pt>
                <c:pt idx="1">
                  <c:v>2.0457033409089678E-2</c:v>
                </c:pt>
              </c:numCache>
            </c:numRef>
          </c:xVal>
          <c:yVal>
            <c:numRef>
              <c:f>STAT!$AD$209:$AD$210</c:f>
              <c:numCache>
                <c:formatCode>General</c:formatCode>
                <c:ptCount val="2"/>
                <c:pt idx="0">
                  <c:v>0</c:v>
                </c:pt>
                <c:pt idx="1">
                  <c:v>30.465181005908718</c:v>
                </c:pt>
              </c:numCache>
            </c:numRef>
          </c:yVal>
          <c:smooth val="0"/>
          <c:extLst>
            <c:ext xmlns:c16="http://schemas.microsoft.com/office/drawing/2014/chart" uri="{C3380CC4-5D6E-409C-BE32-E72D297353CC}">
              <c16:uniqueId val="{00000004-1AD6-124F-9BD0-6E0EA8592112}"/>
            </c:ext>
          </c:extLst>
        </c:ser>
        <c:ser>
          <c:idx val="2"/>
          <c:order val="7"/>
          <c:spPr>
            <a:ln w="12700">
              <a:solidFill>
                <a:srgbClr val="0000FF"/>
              </a:solidFill>
              <a:prstDash val="solid"/>
            </a:ln>
          </c:spPr>
          <c:marker>
            <c:symbol val="none"/>
          </c:marker>
          <c:dLbls>
            <c:dLbl>
              <c:idx val="1"/>
              <c:tx>
                <c:strRef>
                  <c:f>Lan!$E$161</c:f>
                  <c:strCache>
                    <c:ptCount val="1"/>
                    <c:pt idx="0">
                      <c:v>95%il</c:v>
                    </c:pt>
                  </c:strCache>
                </c:strRef>
              </c:tx>
              <c:spPr>
                <a:noFill/>
                <a:ln w="25400">
                  <a:noFill/>
                </a:ln>
              </c:spPr>
              <c:txPr>
                <a:bodyPr/>
                <a:lstStyle/>
                <a:p>
                  <a:pPr>
                    <a:defRPr sz="1000" b="0" i="0" u="none" strike="noStrike" baseline="0">
                      <a:solidFill>
                        <a:srgbClr val="000000"/>
                      </a:solidFill>
                      <a:latin typeface="Geneva"/>
                      <a:ea typeface="Geneva"/>
                      <a:cs typeface="Geneva"/>
                    </a:defRPr>
                  </a:pPr>
                  <a:endParaRPr lang="en-NO"/>
                </a:p>
              </c:txPr>
              <c:showLegendKey val="0"/>
              <c:showVal val="0"/>
              <c:showCatName val="0"/>
              <c:showSerName val="0"/>
              <c:showPercent val="0"/>
              <c:showBubbleSize val="0"/>
              <c:extLst>
                <c:ext xmlns:c15="http://schemas.microsoft.com/office/drawing/2012/chart" uri="{CE6537A1-D6FC-4f65-9D91-7224C49458BB}">
                  <c15:dlblFieldTable>
                    <c15:dlblFTEntry>
                      <c15:txfldGUID>{8285BE45-06B8-4B46-A258-F9CB50B74D45}</c15:txfldGUID>
                      <c15:f>Lan!$E$161</c15:f>
                      <c15:dlblFieldTableCache>
                        <c:ptCount val="1"/>
                        <c:pt idx="0">
                          <c:v>95%il</c:v>
                        </c:pt>
                      </c15:dlblFieldTableCache>
                    </c15:dlblFTEntry>
                  </c15:dlblFieldTable>
                  <c15:showDataLabelsRange val="0"/>
                </c:ext>
                <c:ext xmlns:c16="http://schemas.microsoft.com/office/drawing/2014/chart" uri="{C3380CC4-5D6E-409C-BE32-E72D297353CC}">
                  <c16:uniqueId val="{00000006-1AD6-124F-9BD0-6E0EA85921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STAT!$AE$209:$AE$210</c:f>
              <c:numCache>
                <c:formatCode>General</c:formatCode>
                <c:ptCount val="2"/>
                <c:pt idx="0" formatCode="0.00">
                  <c:v>3.8910705195799408E-2</c:v>
                </c:pt>
                <c:pt idx="1">
                  <c:v>3.8910705195799408E-2</c:v>
                </c:pt>
              </c:numCache>
            </c:numRef>
          </c:xVal>
          <c:yVal>
            <c:numRef>
              <c:f>STAT!$AF$209:$AF$210</c:f>
              <c:numCache>
                <c:formatCode>General</c:formatCode>
                <c:ptCount val="2"/>
                <c:pt idx="0">
                  <c:v>0</c:v>
                </c:pt>
                <c:pt idx="1">
                  <c:v>30.465181005908718</c:v>
                </c:pt>
              </c:numCache>
            </c:numRef>
          </c:yVal>
          <c:smooth val="0"/>
          <c:extLst>
            <c:ext xmlns:c16="http://schemas.microsoft.com/office/drawing/2014/chart" uri="{C3380CC4-5D6E-409C-BE32-E72D297353CC}">
              <c16:uniqueId val="{00000007-1AD6-124F-9BD0-6E0EA8592112}"/>
            </c:ext>
          </c:extLst>
        </c:ser>
        <c:ser>
          <c:idx val="3"/>
          <c:order val="8"/>
          <c:spPr>
            <a:ln w="3175">
              <a:solidFill>
                <a:srgbClr val="000000"/>
              </a:solidFill>
              <a:prstDash val="lgDashDot"/>
            </a:ln>
          </c:spPr>
          <c:marker>
            <c:symbol val="none"/>
          </c:marker>
          <c:dLbls>
            <c:dLbl>
              <c:idx val="1"/>
              <c:tx>
                <c:strRef>
                  <c:f>Lan!$E$162</c:f>
                  <c:strCache>
                    <c:ptCount val="1"/>
                    <c:pt idx="0">
                      <c:v>EØK</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{88DB3BE5-6C8D-0144-9279-A7E6D7F13D20}</c15:txfldGUID>
                      <c15:f>Lan!$E$162</c15:f>
                      <c15:dlblFieldTableCache>
                        <c:ptCount val="1"/>
                        <c:pt idx="0">
                          <c:v>EØK</c:v>
                        </c:pt>
                      </c15:dlblFieldTableCache>
                    </c15:dlblFTEntry>
                  </c15:dlblFieldTable>
                  <c15:showDataLabelsRange val="0"/>
                </c:ext>
                <c:ext xmlns:c16="http://schemas.microsoft.com/office/drawing/2014/chart" uri="{C3380CC4-5D6E-409C-BE32-E72D297353CC}">
                  <c16:uniqueId val="{00000009-1AD6-124F-9BD0-6E0EA85921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STAT!$AG$209:$AG$210</c:f>
              <c:numCache>
                <c:formatCode>General</c:formatCode>
                <c:ptCount val="2"/>
                <c:pt idx="0" formatCode="0.00">
                  <c:v>3.4755244661796775E-2</c:v>
                </c:pt>
                <c:pt idx="1">
                  <c:v>3.4755244661796775E-2</c:v>
                </c:pt>
              </c:numCache>
            </c:numRef>
          </c:xVal>
          <c:yVal>
            <c:numRef>
              <c:f>STAT!$AH$209:$AH$210</c:f>
              <c:numCache>
                <c:formatCode>General</c:formatCode>
                <c:ptCount val="2"/>
                <c:pt idx="0">
                  <c:v>0</c:v>
                </c:pt>
                <c:pt idx="1">
                  <c:v>30.465181005908718</c:v>
                </c:pt>
              </c:numCache>
            </c:numRef>
          </c:yVal>
          <c:smooth val="0"/>
          <c:extLst>
            <c:ext xmlns:c16="http://schemas.microsoft.com/office/drawing/2014/chart" uri="{C3380CC4-5D6E-409C-BE32-E72D297353CC}">
              <c16:uniqueId val="{0000000A-1AD6-124F-9BD0-6E0EA8592112}"/>
            </c:ext>
          </c:extLst>
        </c:ser>
        <c:ser>
          <c:idx val="4"/>
          <c:order val="9"/>
          <c:spPr>
            <a:ln w="3175">
              <a:solidFill>
                <a:srgbClr val="000000"/>
              </a:solidFill>
              <a:prstDash val="lgDashDot"/>
            </a:ln>
          </c:spPr>
          <c:marker>
            <c:symbol val="none"/>
          </c:marker>
          <c:xVal>
            <c:numRef>
              <c:f>STAT!$AI$208:$AI$209</c:f>
              <c:numCache>
                <c:formatCode>General</c:formatCode>
                <c:ptCount val="2"/>
              </c:numCache>
            </c:numRef>
          </c:xVal>
          <c:yVal>
            <c:numRef>
              <c:f>STAT!$AJ$208:$AJ$209</c:f>
              <c:numCache>
                <c:formatCode>General</c:formatCode>
                <c:ptCount val="2"/>
              </c:numCache>
            </c:numRef>
          </c:yVal>
          <c:smooth val="0"/>
          <c:extLst>
            <c:ext xmlns:c16="http://schemas.microsoft.com/office/drawing/2014/chart" uri="{C3380CC4-5D6E-409C-BE32-E72D297353CC}">
              <c16:uniqueId val="{0000000C-1AD6-124F-9BD0-6E0EA8592112}"/>
            </c:ext>
          </c:extLst>
        </c:ser>
        <c:dLbls>
          <c:showLegendKey val="0"/>
          <c:showVal val="0"/>
          <c:showCatName val="0"/>
          <c:showSerName val="0"/>
          <c:showPercent val="0"/>
          <c:showBubbleSize val="0"/>
        </c:dLbls>
        <c:axId val="65714767"/>
        <c:axId val="1"/>
      </c:scatterChart>
      <c:valAx>
        <c:axId val="65714767"/>
        <c:scaling>
          <c:orientation val="minMax"/>
        </c:scaling>
        <c:delete val="0"/>
        <c:axPos val="b"/>
        <c:title>
          <c:tx>
            <c:strRef>
              <c:f>Lan!$E$163</c:f>
              <c:strCache>
                <c:ptCount val="1"/>
                <c:pt idx="0">
                  <c:v>Konsentrasjon</c:v>
                </c:pt>
              </c:strCache>
            </c:strRef>
          </c:tx>
          <c:layout>
            <c:manualLayout>
              <c:xMode val="edge"/>
              <c:yMode val="edge"/>
              <c:x val="0.43918240312558632"/>
              <c:y val="0.95189960629921244"/>
            </c:manualLayout>
          </c:layout>
          <c:overlay val="0"/>
          <c:spPr>
            <a:noFill/>
            <a:ln w="25400">
              <a:noFill/>
            </a:ln>
          </c:spPr>
          <c:txPr>
            <a:bodyPr/>
            <a:lstStyle/>
            <a:p>
              <a:pPr>
                <a:defRPr sz="1000" b="1" i="0" u="none" strike="noStrike" baseline="0">
                  <a:solidFill>
                    <a:srgbClr val="000000"/>
                  </a:solidFill>
                  <a:latin typeface="Geneva"/>
                  <a:ea typeface="Geneva"/>
                  <a:cs typeface="Geneva"/>
                </a:defRPr>
              </a:pPr>
              <a:endParaRPr lang="en-NO"/>
            </a:p>
          </c:tx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Geneva"/>
                <a:ea typeface="Geneva"/>
                <a:cs typeface="Geneva"/>
              </a:defRPr>
            </a:pPr>
            <a:endParaRPr lang="en-NO"/>
          </a:p>
        </c:txPr>
        <c:crossAx val="1"/>
        <c:crosses val="autoZero"/>
        <c:crossBetween val="midCat"/>
      </c:val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Geneva"/>
                <a:ea typeface="Geneva"/>
                <a:cs typeface="Geneva"/>
              </a:defRPr>
            </a:pPr>
            <a:endParaRPr lang="en-NO"/>
          </a:p>
        </c:txPr>
        <c:crossAx val="65714767"/>
        <c:crosses val="autoZero"/>
        <c:crossBetween val="midCat"/>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Geneva"/>
          <a:ea typeface="Geneva"/>
          <a:cs typeface="Geneva"/>
        </a:defRPr>
      </a:pPr>
      <a:endParaRPr lang="en-NO"/>
    </a:p>
  </c:txPr>
  <c:printSettings>
    <c:headerFooter alignWithMargins="0">
      <c:oddHeader>&amp;F</c:oddHeader>
      <c:oddFooter>Page &amp;P</c:oddFooter>
    </c:headerFooter>
    <c:pageMargins b="1" l="0.75" r="0.75" t="1" header="0.5" footer="0.5"/>
    <c:pageSetup orientation="landscape" blackAndWhite="1" horizontalDpi="300" verticalDpi="30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11</xdr:col>
      <xdr:colOff>508001</xdr:colOff>
      <xdr:row>18</xdr:row>
      <xdr:rowOff>76200</xdr:rowOff>
    </xdr:from>
    <xdr:to>
      <xdr:col>11</xdr:col>
      <xdr:colOff>7759700</xdr:colOff>
      <xdr:row>53</xdr:row>
      <xdr:rowOff>141826</xdr:rowOff>
    </xdr:to>
    <xdr:grpSp>
      <xdr:nvGrpSpPr>
        <xdr:cNvPr id="71" name="Group 70">
          <a:extLst>
            <a:ext uri="{FF2B5EF4-FFF2-40B4-BE49-F238E27FC236}">
              <a16:creationId xmlns:a16="http://schemas.microsoft.com/office/drawing/2014/main" id="{E4209E0D-B4AA-504B-A26D-617408CBF83D}"/>
            </a:ext>
          </a:extLst>
        </xdr:cNvPr>
        <xdr:cNvGrpSpPr/>
      </xdr:nvGrpSpPr>
      <xdr:grpSpPr>
        <a:xfrm>
          <a:off x="12890501" y="4965700"/>
          <a:ext cx="7251699" cy="6717251"/>
          <a:chOff x="345614" y="-31725"/>
          <a:chExt cx="6769889" cy="6758526"/>
        </a:xfrm>
      </xdr:grpSpPr>
      <xdr:grpSp>
        <xdr:nvGrpSpPr>
          <xdr:cNvPr id="72" name="Group 71">
            <a:extLst>
              <a:ext uri="{FF2B5EF4-FFF2-40B4-BE49-F238E27FC236}">
                <a16:creationId xmlns:a16="http://schemas.microsoft.com/office/drawing/2014/main" id="{D31EE08B-21B2-9544-A604-D7048F60017E}"/>
              </a:ext>
            </a:extLst>
          </xdr:cNvPr>
          <xdr:cNvGrpSpPr/>
        </xdr:nvGrpSpPr>
        <xdr:grpSpPr>
          <a:xfrm>
            <a:off x="411553" y="3780037"/>
            <a:ext cx="6639622" cy="2946764"/>
            <a:chOff x="537215" y="434647"/>
            <a:chExt cx="11675303" cy="6092277"/>
          </a:xfrm>
        </xdr:grpSpPr>
        <xdr:pic>
          <xdr:nvPicPr>
            <xdr:cNvPr id="108" name="Picture 107">
              <a:extLst>
                <a:ext uri="{FF2B5EF4-FFF2-40B4-BE49-F238E27FC236}">
                  <a16:creationId xmlns:a16="http://schemas.microsoft.com/office/drawing/2014/main" id="{6C95ED97-C80B-E340-8D36-993B64682D2A}"/>
                </a:ext>
              </a:extLst>
            </xdr:cNvPr>
            <xdr:cNvPicPr>
              <a:picLocks noChangeAspect="1"/>
            </xdr:cNvPicPr>
          </xdr:nvPicPr>
          <xdr:blipFill rotWithShape="1">
            <a:blip xmlns:r="http://schemas.openxmlformats.org/officeDocument/2006/relationships" r:embed="rId1"/>
            <a:srcRect l="1534" b="11000"/>
            <a:stretch/>
          </xdr:blipFill>
          <xdr:spPr>
            <a:xfrm>
              <a:off x="537215" y="434647"/>
              <a:ext cx="10889718" cy="6092277"/>
            </a:xfrm>
            <a:prstGeom prst="rect">
              <a:avLst/>
            </a:prstGeom>
          </xdr:spPr>
        </xdr:pic>
        <xdr:grpSp>
          <xdr:nvGrpSpPr>
            <xdr:cNvPr id="109" name="Group 108">
              <a:extLst>
                <a:ext uri="{FF2B5EF4-FFF2-40B4-BE49-F238E27FC236}">
                  <a16:creationId xmlns:a16="http://schemas.microsoft.com/office/drawing/2014/main" id="{5C27E6DB-E4AF-6F4B-A5B6-A28026078576}"/>
                </a:ext>
              </a:extLst>
            </xdr:cNvPr>
            <xdr:cNvGrpSpPr/>
          </xdr:nvGrpSpPr>
          <xdr:grpSpPr>
            <a:xfrm>
              <a:off x="737200" y="735725"/>
              <a:ext cx="11475318" cy="4614041"/>
              <a:chOff x="737200" y="735725"/>
              <a:chExt cx="11475318" cy="4614041"/>
            </a:xfrm>
          </xdr:grpSpPr>
          <xdr:pic>
            <xdr:nvPicPr>
              <xdr:cNvPr id="110" name="Picture 109">
                <a:extLst>
                  <a:ext uri="{FF2B5EF4-FFF2-40B4-BE49-F238E27FC236}">
                    <a16:creationId xmlns:a16="http://schemas.microsoft.com/office/drawing/2014/main" id="{9EE9DEAA-F2D1-6949-9112-8C082B01F65C}"/>
                  </a:ext>
                </a:extLst>
              </xdr:cNvPr>
              <xdr:cNvPicPr>
                <a:picLocks noChangeAspect="1"/>
              </xdr:cNvPicPr>
            </xdr:nvPicPr>
            <xdr:blipFill>
              <a:blip xmlns:r="http://schemas.openxmlformats.org/officeDocument/2006/relationships" r:embed="rId2"/>
              <a:stretch>
                <a:fillRect/>
              </a:stretch>
            </xdr:blipFill>
            <xdr:spPr>
              <a:xfrm>
                <a:off x="11288549" y="4575942"/>
                <a:ext cx="292100" cy="330200"/>
              </a:xfrm>
              <a:prstGeom prst="rect">
                <a:avLst/>
              </a:prstGeom>
            </xdr:spPr>
          </xdr:pic>
          <xdr:pic>
            <xdr:nvPicPr>
              <xdr:cNvPr id="111" name="Picture 110">
                <a:extLst>
                  <a:ext uri="{FF2B5EF4-FFF2-40B4-BE49-F238E27FC236}">
                    <a16:creationId xmlns:a16="http://schemas.microsoft.com/office/drawing/2014/main" id="{00ECA66F-4688-9548-BCE0-42D80EC415B1}"/>
                  </a:ext>
                </a:extLst>
              </xdr:cNvPr>
              <xdr:cNvPicPr>
                <a:picLocks noChangeAspect="1"/>
              </xdr:cNvPicPr>
            </xdr:nvPicPr>
            <xdr:blipFill>
              <a:blip xmlns:r="http://schemas.openxmlformats.org/officeDocument/2006/relationships" r:embed="rId2"/>
              <a:stretch>
                <a:fillRect/>
              </a:stretch>
            </xdr:blipFill>
            <xdr:spPr>
              <a:xfrm>
                <a:off x="11288549" y="4929791"/>
                <a:ext cx="292100" cy="330200"/>
              </a:xfrm>
              <a:prstGeom prst="rect">
                <a:avLst/>
              </a:prstGeom>
            </xdr:spPr>
          </xdr:pic>
          <xdr:sp macro="" textlink="">
            <xdr:nvSpPr>
              <xdr:cNvPr id="112" name="Oval 111">
                <a:extLst>
                  <a:ext uri="{FF2B5EF4-FFF2-40B4-BE49-F238E27FC236}">
                    <a16:creationId xmlns:a16="http://schemas.microsoft.com/office/drawing/2014/main" id="{23855005-0700-6447-8960-3F1EB7653718}"/>
                  </a:ext>
                </a:extLst>
              </xdr:cNvPr>
              <xdr:cNvSpPr/>
            </xdr:nvSpPr>
            <xdr:spPr>
              <a:xfrm>
                <a:off x="11028964" y="735725"/>
                <a:ext cx="504935" cy="46245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113" name="Oval 112">
                <a:extLst>
                  <a:ext uri="{FF2B5EF4-FFF2-40B4-BE49-F238E27FC236}">
                    <a16:creationId xmlns:a16="http://schemas.microsoft.com/office/drawing/2014/main" id="{BA7A7C23-7515-E844-BC35-930F38F4082D}"/>
                  </a:ext>
                </a:extLst>
              </xdr:cNvPr>
              <xdr:cNvSpPr/>
            </xdr:nvSpPr>
            <xdr:spPr>
              <a:xfrm>
                <a:off x="11182131" y="4467336"/>
                <a:ext cx="504935" cy="88243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114" name="Oval 113">
                <a:extLst>
                  <a:ext uri="{FF2B5EF4-FFF2-40B4-BE49-F238E27FC236}">
                    <a16:creationId xmlns:a16="http://schemas.microsoft.com/office/drawing/2014/main" id="{C4D8CA61-2FF2-3845-81CF-3AD421FB6B21}"/>
                  </a:ext>
                </a:extLst>
              </xdr:cNvPr>
              <xdr:cNvSpPr/>
            </xdr:nvSpPr>
            <xdr:spPr>
              <a:xfrm>
                <a:off x="2867682" y="2083676"/>
                <a:ext cx="3470056" cy="1345324"/>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115" name="Oval 114">
                <a:extLst>
                  <a:ext uri="{FF2B5EF4-FFF2-40B4-BE49-F238E27FC236}">
                    <a16:creationId xmlns:a16="http://schemas.microsoft.com/office/drawing/2014/main" id="{6B9B7F6D-E6A2-0A46-B6B4-90ED515E7FF5}"/>
                  </a:ext>
                </a:extLst>
              </xdr:cNvPr>
              <xdr:cNvSpPr/>
            </xdr:nvSpPr>
            <xdr:spPr>
              <a:xfrm rot="16200000">
                <a:off x="925947" y="2139949"/>
                <a:ext cx="504935" cy="88243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116" name="Oval 115">
                <a:extLst>
                  <a:ext uri="{FF2B5EF4-FFF2-40B4-BE49-F238E27FC236}">
                    <a16:creationId xmlns:a16="http://schemas.microsoft.com/office/drawing/2014/main" id="{DC600F49-78DA-AE47-89C4-8E46578DFBC5}"/>
                  </a:ext>
                </a:extLst>
              </xdr:cNvPr>
              <xdr:cNvSpPr/>
            </xdr:nvSpPr>
            <xdr:spPr>
              <a:xfrm rot="16200000">
                <a:off x="2054225" y="2062656"/>
                <a:ext cx="504935" cy="88243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117" name="Oval 116">
                <a:extLst>
                  <a:ext uri="{FF2B5EF4-FFF2-40B4-BE49-F238E27FC236}">
                    <a16:creationId xmlns:a16="http://schemas.microsoft.com/office/drawing/2014/main" id="{3FCFE9B7-6C17-9743-A492-BBB992073C5C}"/>
                  </a:ext>
                </a:extLst>
              </xdr:cNvPr>
              <xdr:cNvSpPr/>
            </xdr:nvSpPr>
            <xdr:spPr>
              <a:xfrm rot="16200000">
                <a:off x="694884" y="3901638"/>
                <a:ext cx="971112" cy="88243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118" name="Oval 117">
                <a:extLst>
                  <a:ext uri="{FF2B5EF4-FFF2-40B4-BE49-F238E27FC236}">
                    <a16:creationId xmlns:a16="http://schemas.microsoft.com/office/drawing/2014/main" id="{C57024F7-2617-C847-8F59-D2F33C0D54E0}"/>
                  </a:ext>
                </a:extLst>
              </xdr:cNvPr>
              <xdr:cNvSpPr/>
            </xdr:nvSpPr>
            <xdr:spPr>
              <a:xfrm rot="16200000">
                <a:off x="1818943" y="3901638"/>
                <a:ext cx="971112" cy="88243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grpSp>
            <xdr:nvGrpSpPr>
              <xdr:cNvPr id="119" name="Group 118">
                <a:extLst>
                  <a:ext uri="{FF2B5EF4-FFF2-40B4-BE49-F238E27FC236}">
                    <a16:creationId xmlns:a16="http://schemas.microsoft.com/office/drawing/2014/main" id="{35966272-601B-A246-9F39-59DBF55BA27F}"/>
                  </a:ext>
                </a:extLst>
              </xdr:cNvPr>
              <xdr:cNvGrpSpPr/>
            </xdr:nvGrpSpPr>
            <xdr:grpSpPr>
              <a:xfrm>
                <a:off x="11661517" y="735725"/>
                <a:ext cx="441160" cy="413603"/>
                <a:chOff x="11687066" y="2485969"/>
                <a:chExt cx="441160" cy="413603"/>
              </a:xfrm>
            </xdr:grpSpPr>
            <xdr:sp macro="" textlink="">
              <xdr:nvSpPr>
                <xdr:cNvPr id="138" name="Heptagon 137">
                  <a:extLst>
                    <a:ext uri="{FF2B5EF4-FFF2-40B4-BE49-F238E27FC236}">
                      <a16:creationId xmlns:a16="http://schemas.microsoft.com/office/drawing/2014/main" id="{1A0C66E5-D9A2-7B41-A274-A6077E21B76B}"/>
                    </a:ext>
                  </a:extLst>
                </xdr:cNvPr>
                <xdr:cNvSpPr/>
              </xdr:nvSpPr>
              <xdr:spPr>
                <a:xfrm>
                  <a:off x="11687066" y="2503870"/>
                  <a:ext cx="357789" cy="333923"/>
                </a:xfrm>
                <a:prstGeom prst="heptagon">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139" name="TextBox 33">
                  <a:extLst>
                    <a:ext uri="{FF2B5EF4-FFF2-40B4-BE49-F238E27FC236}">
                      <a16:creationId xmlns:a16="http://schemas.microsoft.com/office/drawing/2014/main" id="{A4E6B7F7-A2F1-744D-828F-26262748A2F9}"/>
                    </a:ext>
                  </a:extLst>
                </xdr:cNvPr>
                <xdr:cNvSpPr txBox="1"/>
              </xdr:nvSpPr>
              <xdr:spPr>
                <a:xfrm>
                  <a:off x="11724579" y="2485969"/>
                  <a:ext cx="403647" cy="413603"/>
                </a:xfrm>
                <a:prstGeom prst="rect">
                  <a:avLst/>
                </a:prstGeom>
                <a:noFill/>
              </xdr:spPr>
              <xdr:txBody>
                <a:bodyPr wrap="square" rtlCol="0">
                  <a:spAutoFit/>
                </a:bodyP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b-NO" sz="700"/>
                    <a:t>1</a:t>
                  </a:r>
                </a:p>
              </xdr:txBody>
            </xdr:sp>
          </xdr:grpSp>
          <xdr:grpSp>
            <xdr:nvGrpSpPr>
              <xdr:cNvPr id="120" name="Group 119">
                <a:extLst>
                  <a:ext uri="{FF2B5EF4-FFF2-40B4-BE49-F238E27FC236}">
                    <a16:creationId xmlns:a16="http://schemas.microsoft.com/office/drawing/2014/main" id="{2EFCAF8E-48E7-F445-83E6-F4B4191ACBD2}"/>
                  </a:ext>
                </a:extLst>
              </xdr:cNvPr>
              <xdr:cNvGrpSpPr/>
            </xdr:nvGrpSpPr>
            <xdr:grpSpPr>
              <a:xfrm>
                <a:off x="1069756" y="1810679"/>
                <a:ext cx="441160" cy="413603"/>
                <a:chOff x="11687066" y="2485969"/>
                <a:chExt cx="441160" cy="413603"/>
              </a:xfrm>
            </xdr:grpSpPr>
            <xdr:sp macro="" textlink="">
              <xdr:nvSpPr>
                <xdr:cNvPr id="136" name="Heptagon 135">
                  <a:extLst>
                    <a:ext uri="{FF2B5EF4-FFF2-40B4-BE49-F238E27FC236}">
                      <a16:creationId xmlns:a16="http://schemas.microsoft.com/office/drawing/2014/main" id="{6FFE4E0E-DFED-F849-863B-D8EF411FC8F7}"/>
                    </a:ext>
                  </a:extLst>
                </xdr:cNvPr>
                <xdr:cNvSpPr/>
              </xdr:nvSpPr>
              <xdr:spPr>
                <a:xfrm>
                  <a:off x="11687066" y="2503870"/>
                  <a:ext cx="357789" cy="333923"/>
                </a:xfrm>
                <a:prstGeom prst="heptagon">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137" name="TextBox 31">
                  <a:extLst>
                    <a:ext uri="{FF2B5EF4-FFF2-40B4-BE49-F238E27FC236}">
                      <a16:creationId xmlns:a16="http://schemas.microsoft.com/office/drawing/2014/main" id="{931A8454-B5F6-5F43-87BA-58FF318ABE11}"/>
                    </a:ext>
                  </a:extLst>
                </xdr:cNvPr>
                <xdr:cNvSpPr txBox="1"/>
              </xdr:nvSpPr>
              <xdr:spPr>
                <a:xfrm>
                  <a:off x="11724579" y="2485969"/>
                  <a:ext cx="403647" cy="413603"/>
                </a:xfrm>
                <a:prstGeom prst="rect">
                  <a:avLst/>
                </a:prstGeom>
                <a:noFill/>
              </xdr:spPr>
              <xdr:txBody>
                <a:bodyPr wrap="square" rtlCol="0">
                  <a:spAutoFit/>
                </a:bodyP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b-NO" sz="700"/>
                    <a:t>2</a:t>
                  </a:r>
                </a:p>
              </xdr:txBody>
            </xdr:sp>
          </xdr:grpSp>
          <xdr:grpSp>
            <xdr:nvGrpSpPr>
              <xdr:cNvPr id="121" name="Group 120">
                <a:extLst>
                  <a:ext uri="{FF2B5EF4-FFF2-40B4-BE49-F238E27FC236}">
                    <a16:creationId xmlns:a16="http://schemas.microsoft.com/office/drawing/2014/main" id="{C00CCEBC-06E9-1A41-B6D6-DDC93889F810}"/>
                  </a:ext>
                </a:extLst>
              </xdr:cNvPr>
              <xdr:cNvGrpSpPr/>
            </xdr:nvGrpSpPr>
            <xdr:grpSpPr>
              <a:xfrm>
                <a:off x="2125603" y="1809254"/>
                <a:ext cx="441160" cy="413603"/>
                <a:chOff x="11687066" y="2485969"/>
                <a:chExt cx="441160" cy="413603"/>
              </a:xfrm>
            </xdr:grpSpPr>
            <xdr:sp macro="" textlink="">
              <xdr:nvSpPr>
                <xdr:cNvPr id="134" name="Heptagon 133">
                  <a:extLst>
                    <a:ext uri="{FF2B5EF4-FFF2-40B4-BE49-F238E27FC236}">
                      <a16:creationId xmlns:a16="http://schemas.microsoft.com/office/drawing/2014/main" id="{FB714A69-E96D-AE4B-BD8C-0845626B2F0C}"/>
                    </a:ext>
                  </a:extLst>
                </xdr:cNvPr>
                <xdr:cNvSpPr/>
              </xdr:nvSpPr>
              <xdr:spPr>
                <a:xfrm>
                  <a:off x="11687066" y="2503870"/>
                  <a:ext cx="357789" cy="333923"/>
                </a:xfrm>
                <a:prstGeom prst="heptagon">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135" name="TextBox 29">
                  <a:extLst>
                    <a:ext uri="{FF2B5EF4-FFF2-40B4-BE49-F238E27FC236}">
                      <a16:creationId xmlns:a16="http://schemas.microsoft.com/office/drawing/2014/main" id="{35BD68CD-11B5-C344-AEA6-784C94769856}"/>
                    </a:ext>
                  </a:extLst>
                </xdr:cNvPr>
                <xdr:cNvSpPr txBox="1"/>
              </xdr:nvSpPr>
              <xdr:spPr>
                <a:xfrm>
                  <a:off x="11724579" y="2485969"/>
                  <a:ext cx="403647" cy="413603"/>
                </a:xfrm>
                <a:prstGeom prst="rect">
                  <a:avLst/>
                </a:prstGeom>
                <a:noFill/>
              </xdr:spPr>
              <xdr:txBody>
                <a:bodyPr wrap="square" rtlCol="0">
                  <a:spAutoFit/>
                </a:bodyP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b-NO" sz="700"/>
                    <a:t>3</a:t>
                  </a:r>
                </a:p>
              </xdr:txBody>
            </xdr:sp>
          </xdr:grpSp>
          <xdr:grpSp>
            <xdr:nvGrpSpPr>
              <xdr:cNvPr id="122" name="Group 121">
                <a:extLst>
                  <a:ext uri="{FF2B5EF4-FFF2-40B4-BE49-F238E27FC236}">
                    <a16:creationId xmlns:a16="http://schemas.microsoft.com/office/drawing/2014/main" id="{89FD20C3-416B-564C-8962-362A7B9797E4}"/>
                  </a:ext>
                </a:extLst>
              </xdr:cNvPr>
              <xdr:cNvGrpSpPr/>
            </xdr:nvGrpSpPr>
            <xdr:grpSpPr>
              <a:xfrm>
                <a:off x="976141" y="4877123"/>
                <a:ext cx="441160" cy="413603"/>
                <a:chOff x="11687066" y="2485969"/>
                <a:chExt cx="441160" cy="413603"/>
              </a:xfrm>
            </xdr:grpSpPr>
            <xdr:sp macro="" textlink="">
              <xdr:nvSpPr>
                <xdr:cNvPr id="132" name="Heptagon 131">
                  <a:extLst>
                    <a:ext uri="{FF2B5EF4-FFF2-40B4-BE49-F238E27FC236}">
                      <a16:creationId xmlns:a16="http://schemas.microsoft.com/office/drawing/2014/main" id="{9105964F-87A7-AE4D-B58D-F0EDB19AC2AB}"/>
                    </a:ext>
                  </a:extLst>
                </xdr:cNvPr>
                <xdr:cNvSpPr/>
              </xdr:nvSpPr>
              <xdr:spPr>
                <a:xfrm>
                  <a:off x="11687066" y="2503870"/>
                  <a:ext cx="357789" cy="333923"/>
                </a:xfrm>
                <a:prstGeom prst="heptagon">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133" name="TextBox 27">
                  <a:extLst>
                    <a:ext uri="{FF2B5EF4-FFF2-40B4-BE49-F238E27FC236}">
                      <a16:creationId xmlns:a16="http://schemas.microsoft.com/office/drawing/2014/main" id="{D92E11F2-4071-B04A-BFEC-8F41A244E480}"/>
                    </a:ext>
                  </a:extLst>
                </xdr:cNvPr>
                <xdr:cNvSpPr txBox="1"/>
              </xdr:nvSpPr>
              <xdr:spPr>
                <a:xfrm>
                  <a:off x="11724579" y="2485969"/>
                  <a:ext cx="403647" cy="413603"/>
                </a:xfrm>
                <a:prstGeom prst="rect">
                  <a:avLst/>
                </a:prstGeom>
                <a:noFill/>
              </xdr:spPr>
              <xdr:txBody>
                <a:bodyPr wrap="square" rtlCol="0">
                  <a:spAutoFit/>
                </a:bodyP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b-NO" sz="700"/>
                    <a:t>4</a:t>
                  </a:r>
                </a:p>
              </xdr:txBody>
            </xdr:sp>
          </xdr:grpSp>
          <xdr:grpSp>
            <xdr:nvGrpSpPr>
              <xdr:cNvPr id="123" name="Group 122">
                <a:extLst>
                  <a:ext uri="{FF2B5EF4-FFF2-40B4-BE49-F238E27FC236}">
                    <a16:creationId xmlns:a16="http://schemas.microsoft.com/office/drawing/2014/main" id="{9371214B-A124-074C-A68B-469085FD88D6}"/>
                  </a:ext>
                </a:extLst>
              </xdr:cNvPr>
              <xdr:cNvGrpSpPr/>
            </xdr:nvGrpSpPr>
            <xdr:grpSpPr>
              <a:xfrm>
                <a:off x="2125603" y="4906142"/>
                <a:ext cx="441160" cy="413603"/>
                <a:chOff x="11687066" y="2485969"/>
                <a:chExt cx="441160" cy="413603"/>
              </a:xfrm>
            </xdr:grpSpPr>
            <xdr:sp macro="" textlink="">
              <xdr:nvSpPr>
                <xdr:cNvPr id="130" name="Heptagon 129">
                  <a:extLst>
                    <a:ext uri="{FF2B5EF4-FFF2-40B4-BE49-F238E27FC236}">
                      <a16:creationId xmlns:a16="http://schemas.microsoft.com/office/drawing/2014/main" id="{07EAAEAD-E097-7D4B-A538-C18A2B6CE37B}"/>
                    </a:ext>
                  </a:extLst>
                </xdr:cNvPr>
                <xdr:cNvSpPr/>
              </xdr:nvSpPr>
              <xdr:spPr>
                <a:xfrm>
                  <a:off x="11687066" y="2503870"/>
                  <a:ext cx="357789" cy="333923"/>
                </a:xfrm>
                <a:prstGeom prst="heptagon">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131" name="TextBox 25">
                  <a:extLst>
                    <a:ext uri="{FF2B5EF4-FFF2-40B4-BE49-F238E27FC236}">
                      <a16:creationId xmlns:a16="http://schemas.microsoft.com/office/drawing/2014/main" id="{9B6EAF59-1602-E646-8D99-E7554BAC4742}"/>
                    </a:ext>
                  </a:extLst>
                </xdr:cNvPr>
                <xdr:cNvSpPr txBox="1"/>
              </xdr:nvSpPr>
              <xdr:spPr>
                <a:xfrm>
                  <a:off x="11724579" y="2485969"/>
                  <a:ext cx="403647" cy="413603"/>
                </a:xfrm>
                <a:prstGeom prst="rect">
                  <a:avLst/>
                </a:prstGeom>
                <a:noFill/>
              </xdr:spPr>
              <xdr:txBody>
                <a:bodyPr wrap="square" rtlCol="0">
                  <a:spAutoFit/>
                </a:bodyP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b-NO" sz="700"/>
                    <a:t>5</a:t>
                  </a:r>
                </a:p>
              </xdr:txBody>
            </xdr:sp>
          </xdr:grpSp>
          <xdr:grpSp>
            <xdr:nvGrpSpPr>
              <xdr:cNvPr id="124" name="Group 123">
                <a:extLst>
                  <a:ext uri="{FF2B5EF4-FFF2-40B4-BE49-F238E27FC236}">
                    <a16:creationId xmlns:a16="http://schemas.microsoft.com/office/drawing/2014/main" id="{5D01DC6B-9851-AC4A-8FEA-35BB029E639F}"/>
                  </a:ext>
                </a:extLst>
              </xdr:cNvPr>
              <xdr:cNvGrpSpPr/>
            </xdr:nvGrpSpPr>
            <xdr:grpSpPr>
              <a:xfrm>
                <a:off x="11771358" y="4717227"/>
                <a:ext cx="441160" cy="413603"/>
                <a:chOff x="11687066" y="2485969"/>
                <a:chExt cx="441160" cy="413603"/>
              </a:xfrm>
            </xdr:grpSpPr>
            <xdr:sp macro="" textlink="">
              <xdr:nvSpPr>
                <xdr:cNvPr id="128" name="Heptagon 127">
                  <a:extLst>
                    <a:ext uri="{FF2B5EF4-FFF2-40B4-BE49-F238E27FC236}">
                      <a16:creationId xmlns:a16="http://schemas.microsoft.com/office/drawing/2014/main" id="{0D3ED81C-A909-D34B-B24A-B1EB3EBCBDE2}"/>
                    </a:ext>
                  </a:extLst>
                </xdr:cNvPr>
                <xdr:cNvSpPr/>
              </xdr:nvSpPr>
              <xdr:spPr>
                <a:xfrm>
                  <a:off x="11687066" y="2503870"/>
                  <a:ext cx="357789" cy="333923"/>
                </a:xfrm>
                <a:prstGeom prst="heptagon">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129" name="TextBox 23">
                  <a:extLst>
                    <a:ext uri="{FF2B5EF4-FFF2-40B4-BE49-F238E27FC236}">
                      <a16:creationId xmlns:a16="http://schemas.microsoft.com/office/drawing/2014/main" id="{CE2A8308-80A2-9F4E-A418-2581226D8302}"/>
                    </a:ext>
                  </a:extLst>
                </xdr:cNvPr>
                <xdr:cNvSpPr txBox="1"/>
              </xdr:nvSpPr>
              <xdr:spPr>
                <a:xfrm>
                  <a:off x="11724579" y="2485969"/>
                  <a:ext cx="403647" cy="413603"/>
                </a:xfrm>
                <a:prstGeom prst="rect">
                  <a:avLst/>
                </a:prstGeom>
                <a:noFill/>
              </xdr:spPr>
              <xdr:txBody>
                <a:bodyPr wrap="square" rtlCol="0">
                  <a:spAutoFit/>
                </a:bodyP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b-NO" sz="700"/>
                    <a:t>6</a:t>
                  </a:r>
                </a:p>
              </xdr:txBody>
            </xdr:sp>
          </xdr:grpSp>
          <xdr:grpSp>
            <xdr:nvGrpSpPr>
              <xdr:cNvPr id="125" name="Group 124">
                <a:extLst>
                  <a:ext uri="{FF2B5EF4-FFF2-40B4-BE49-F238E27FC236}">
                    <a16:creationId xmlns:a16="http://schemas.microsoft.com/office/drawing/2014/main" id="{8E961A4E-3C60-5048-986A-D05AF92BA7F0}"/>
                  </a:ext>
                </a:extLst>
              </xdr:cNvPr>
              <xdr:cNvGrpSpPr/>
            </xdr:nvGrpSpPr>
            <xdr:grpSpPr>
              <a:xfrm>
                <a:off x="6324345" y="2988275"/>
                <a:ext cx="441160" cy="413603"/>
                <a:chOff x="11687066" y="2485969"/>
                <a:chExt cx="441160" cy="413603"/>
              </a:xfrm>
            </xdr:grpSpPr>
            <xdr:sp macro="" textlink="">
              <xdr:nvSpPr>
                <xdr:cNvPr id="126" name="Heptagon 125">
                  <a:extLst>
                    <a:ext uri="{FF2B5EF4-FFF2-40B4-BE49-F238E27FC236}">
                      <a16:creationId xmlns:a16="http://schemas.microsoft.com/office/drawing/2014/main" id="{74E2E8A2-3954-234B-A91A-10F6B2F4BF29}"/>
                    </a:ext>
                  </a:extLst>
                </xdr:cNvPr>
                <xdr:cNvSpPr/>
              </xdr:nvSpPr>
              <xdr:spPr>
                <a:xfrm>
                  <a:off x="11687066" y="2503870"/>
                  <a:ext cx="357789" cy="333923"/>
                </a:xfrm>
                <a:prstGeom prst="heptagon">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127" name="TextBox 21">
                  <a:extLst>
                    <a:ext uri="{FF2B5EF4-FFF2-40B4-BE49-F238E27FC236}">
                      <a16:creationId xmlns:a16="http://schemas.microsoft.com/office/drawing/2014/main" id="{3D08D090-02FD-6342-A345-63C3E562D581}"/>
                    </a:ext>
                  </a:extLst>
                </xdr:cNvPr>
                <xdr:cNvSpPr txBox="1"/>
              </xdr:nvSpPr>
              <xdr:spPr>
                <a:xfrm>
                  <a:off x="11724579" y="2485969"/>
                  <a:ext cx="403647" cy="413603"/>
                </a:xfrm>
                <a:prstGeom prst="rect">
                  <a:avLst/>
                </a:prstGeom>
                <a:noFill/>
              </xdr:spPr>
              <xdr:txBody>
                <a:bodyPr wrap="square" rtlCol="0">
                  <a:spAutoFit/>
                </a:bodyP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b-NO" sz="700"/>
                    <a:t>7</a:t>
                  </a:r>
                </a:p>
              </xdr:txBody>
            </xdr:sp>
          </xdr:grpSp>
        </xdr:grpSp>
      </xdr:grpSp>
      <xdr:grpSp>
        <xdr:nvGrpSpPr>
          <xdr:cNvPr id="73" name="Group 72">
            <a:extLst>
              <a:ext uri="{FF2B5EF4-FFF2-40B4-BE49-F238E27FC236}">
                <a16:creationId xmlns:a16="http://schemas.microsoft.com/office/drawing/2014/main" id="{80C6A199-30D8-8F4F-9B97-DF56771B6D63}"/>
              </a:ext>
            </a:extLst>
          </xdr:cNvPr>
          <xdr:cNvGrpSpPr/>
        </xdr:nvGrpSpPr>
        <xdr:grpSpPr>
          <a:xfrm>
            <a:off x="411920" y="331075"/>
            <a:ext cx="6703583" cy="3121408"/>
            <a:chOff x="737200" y="304800"/>
            <a:chExt cx="11446456" cy="6248400"/>
          </a:xfrm>
        </xdr:grpSpPr>
        <xdr:pic>
          <xdr:nvPicPr>
            <xdr:cNvPr id="76" name="Picture 75">
              <a:extLst>
                <a:ext uri="{FF2B5EF4-FFF2-40B4-BE49-F238E27FC236}">
                  <a16:creationId xmlns:a16="http://schemas.microsoft.com/office/drawing/2014/main" id="{55F2F34B-4719-DC4F-A74F-9F4B3E473DC9}"/>
                </a:ext>
              </a:extLst>
            </xdr:cNvPr>
            <xdr:cNvPicPr>
              <a:picLocks noChangeAspect="1"/>
            </xdr:cNvPicPr>
          </xdr:nvPicPr>
          <xdr:blipFill>
            <a:blip xmlns:r="http://schemas.openxmlformats.org/officeDocument/2006/relationships" r:embed="rId3"/>
            <a:stretch>
              <a:fillRect/>
            </a:stretch>
          </xdr:blipFill>
          <xdr:spPr>
            <a:xfrm>
              <a:off x="751599" y="304800"/>
              <a:ext cx="10782300" cy="6248400"/>
            </a:xfrm>
            <a:prstGeom prst="rect">
              <a:avLst/>
            </a:prstGeom>
          </xdr:spPr>
        </xdr:pic>
        <xdr:grpSp>
          <xdr:nvGrpSpPr>
            <xdr:cNvPr id="77" name="Group 76">
              <a:extLst>
                <a:ext uri="{FF2B5EF4-FFF2-40B4-BE49-F238E27FC236}">
                  <a16:creationId xmlns:a16="http://schemas.microsoft.com/office/drawing/2014/main" id="{3F5A3EC0-206E-B247-8DFD-E39DBA0941E1}"/>
                </a:ext>
              </a:extLst>
            </xdr:cNvPr>
            <xdr:cNvGrpSpPr/>
          </xdr:nvGrpSpPr>
          <xdr:grpSpPr>
            <a:xfrm>
              <a:off x="737200" y="735725"/>
              <a:ext cx="11446456" cy="4614041"/>
              <a:chOff x="737200" y="735725"/>
              <a:chExt cx="11446456" cy="4614041"/>
            </a:xfrm>
          </xdr:grpSpPr>
          <xdr:pic>
            <xdr:nvPicPr>
              <xdr:cNvPr id="78" name="Picture 77">
                <a:extLst>
                  <a:ext uri="{FF2B5EF4-FFF2-40B4-BE49-F238E27FC236}">
                    <a16:creationId xmlns:a16="http://schemas.microsoft.com/office/drawing/2014/main" id="{666B5363-915D-1045-9DE7-43845E1300F0}"/>
                  </a:ext>
                </a:extLst>
              </xdr:cNvPr>
              <xdr:cNvPicPr>
                <a:picLocks noChangeAspect="1"/>
              </xdr:cNvPicPr>
            </xdr:nvPicPr>
            <xdr:blipFill>
              <a:blip xmlns:r="http://schemas.openxmlformats.org/officeDocument/2006/relationships" r:embed="rId2"/>
              <a:stretch>
                <a:fillRect/>
              </a:stretch>
            </xdr:blipFill>
            <xdr:spPr>
              <a:xfrm>
                <a:off x="11288549" y="4575942"/>
                <a:ext cx="292100" cy="330200"/>
              </a:xfrm>
              <a:prstGeom prst="rect">
                <a:avLst/>
              </a:prstGeom>
            </xdr:spPr>
          </xdr:pic>
          <xdr:pic>
            <xdr:nvPicPr>
              <xdr:cNvPr id="79" name="Picture 78">
                <a:extLst>
                  <a:ext uri="{FF2B5EF4-FFF2-40B4-BE49-F238E27FC236}">
                    <a16:creationId xmlns:a16="http://schemas.microsoft.com/office/drawing/2014/main" id="{9E94093A-A78B-1E49-861B-BE68AC24688A}"/>
                  </a:ext>
                </a:extLst>
              </xdr:cNvPr>
              <xdr:cNvPicPr>
                <a:picLocks noChangeAspect="1"/>
              </xdr:cNvPicPr>
            </xdr:nvPicPr>
            <xdr:blipFill>
              <a:blip xmlns:r="http://schemas.openxmlformats.org/officeDocument/2006/relationships" r:embed="rId2"/>
              <a:stretch>
                <a:fillRect/>
              </a:stretch>
            </xdr:blipFill>
            <xdr:spPr>
              <a:xfrm>
                <a:off x="11288549" y="4929791"/>
                <a:ext cx="292100" cy="330200"/>
              </a:xfrm>
              <a:prstGeom prst="rect">
                <a:avLst/>
              </a:prstGeom>
            </xdr:spPr>
          </xdr:pic>
          <xdr:sp macro="" textlink="">
            <xdr:nvSpPr>
              <xdr:cNvPr id="80" name="Oval 79">
                <a:extLst>
                  <a:ext uri="{FF2B5EF4-FFF2-40B4-BE49-F238E27FC236}">
                    <a16:creationId xmlns:a16="http://schemas.microsoft.com/office/drawing/2014/main" id="{66DDC025-3322-5442-88D6-D366001CB1A4}"/>
                  </a:ext>
                </a:extLst>
              </xdr:cNvPr>
              <xdr:cNvSpPr/>
            </xdr:nvSpPr>
            <xdr:spPr>
              <a:xfrm>
                <a:off x="11028964" y="735725"/>
                <a:ext cx="504935" cy="46245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81" name="Oval 80">
                <a:extLst>
                  <a:ext uri="{FF2B5EF4-FFF2-40B4-BE49-F238E27FC236}">
                    <a16:creationId xmlns:a16="http://schemas.microsoft.com/office/drawing/2014/main" id="{56D81CAE-1609-2640-A4CD-C6FFB703B3E9}"/>
                  </a:ext>
                </a:extLst>
              </xdr:cNvPr>
              <xdr:cNvSpPr/>
            </xdr:nvSpPr>
            <xdr:spPr>
              <a:xfrm>
                <a:off x="11182131" y="4467336"/>
                <a:ext cx="504935" cy="88243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82" name="Oval 81">
                <a:extLst>
                  <a:ext uri="{FF2B5EF4-FFF2-40B4-BE49-F238E27FC236}">
                    <a16:creationId xmlns:a16="http://schemas.microsoft.com/office/drawing/2014/main" id="{2652B142-47EE-7A4E-929F-4C0E5E05F6AF}"/>
                  </a:ext>
                </a:extLst>
              </xdr:cNvPr>
              <xdr:cNvSpPr/>
            </xdr:nvSpPr>
            <xdr:spPr>
              <a:xfrm>
                <a:off x="2867682" y="2083676"/>
                <a:ext cx="3470056" cy="1345324"/>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83" name="Oval 82">
                <a:extLst>
                  <a:ext uri="{FF2B5EF4-FFF2-40B4-BE49-F238E27FC236}">
                    <a16:creationId xmlns:a16="http://schemas.microsoft.com/office/drawing/2014/main" id="{69F9017A-5173-F141-9B12-77C2A0A1D75A}"/>
                  </a:ext>
                </a:extLst>
              </xdr:cNvPr>
              <xdr:cNvSpPr/>
            </xdr:nvSpPr>
            <xdr:spPr>
              <a:xfrm rot="16200000">
                <a:off x="925947" y="2139949"/>
                <a:ext cx="504935" cy="88243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84" name="Oval 83">
                <a:extLst>
                  <a:ext uri="{FF2B5EF4-FFF2-40B4-BE49-F238E27FC236}">
                    <a16:creationId xmlns:a16="http://schemas.microsoft.com/office/drawing/2014/main" id="{D9F08577-076B-0343-BDB9-E68E088AB8CB}"/>
                  </a:ext>
                </a:extLst>
              </xdr:cNvPr>
              <xdr:cNvSpPr/>
            </xdr:nvSpPr>
            <xdr:spPr>
              <a:xfrm rot="16200000">
                <a:off x="2054225" y="2062656"/>
                <a:ext cx="504935" cy="88243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85" name="Oval 84">
                <a:extLst>
                  <a:ext uri="{FF2B5EF4-FFF2-40B4-BE49-F238E27FC236}">
                    <a16:creationId xmlns:a16="http://schemas.microsoft.com/office/drawing/2014/main" id="{B3677B4A-7D2B-7049-A32D-7F2D0E60D3C5}"/>
                  </a:ext>
                </a:extLst>
              </xdr:cNvPr>
              <xdr:cNvSpPr/>
            </xdr:nvSpPr>
            <xdr:spPr>
              <a:xfrm rot="16200000">
                <a:off x="694884" y="3901638"/>
                <a:ext cx="971112" cy="88243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86" name="Oval 85">
                <a:extLst>
                  <a:ext uri="{FF2B5EF4-FFF2-40B4-BE49-F238E27FC236}">
                    <a16:creationId xmlns:a16="http://schemas.microsoft.com/office/drawing/2014/main" id="{3BACB655-B2AF-1F4E-BFDE-45965ADA6EA5}"/>
                  </a:ext>
                </a:extLst>
              </xdr:cNvPr>
              <xdr:cNvSpPr/>
            </xdr:nvSpPr>
            <xdr:spPr>
              <a:xfrm rot="16200000">
                <a:off x="1818943" y="3901638"/>
                <a:ext cx="971112" cy="88243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grpSp>
            <xdr:nvGrpSpPr>
              <xdr:cNvPr id="87" name="Group 86">
                <a:extLst>
                  <a:ext uri="{FF2B5EF4-FFF2-40B4-BE49-F238E27FC236}">
                    <a16:creationId xmlns:a16="http://schemas.microsoft.com/office/drawing/2014/main" id="{44CD2ABF-4BC7-5441-8477-013C95B838C4}"/>
                  </a:ext>
                </a:extLst>
              </xdr:cNvPr>
              <xdr:cNvGrpSpPr/>
            </xdr:nvGrpSpPr>
            <xdr:grpSpPr>
              <a:xfrm>
                <a:off x="11661517" y="735725"/>
                <a:ext cx="412298" cy="400109"/>
                <a:chOff x="11687066" y="2485969"/>
                <a:chExt cx="412298" cy="400109"/>
              </a:xfrm>
            </xdr:grpSpPr>
            <xdr:sp macro="" textlink="">
              <xdr:nvSpPr>
                <xdr:cNvPr id="106" name="Heptagon 105">
                  <a:extLst>
                    <a:ext uri="{FF2B5EF4-FFF2-40B4-BE49-F238E27FC236}">
                      <a16:creationId xmlns:a16="http://schemas.microsoft.com/office/drawing/2014/main" id="{FAD32AEB-2DB7-1D4B-988E-87EEEDF4BCBA}"/>
                    </a:ext>
                  </a:extLst>
                </xdr:cNvPr>
                <xdr:cNvSpPr/>
              </xdr:nvSpPr>
              <xdr:spPr>
                <a:xfrm>
                  <a:off x="11687066" y="2503870"/>
                  <a:ext cx="357789" cy="333923"/>
                </a:xfrm>
                <a:prstGeom prst="heptagon">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107" name="TextBox 66">
                  <a:extLst>
                    <a:ext uri="{FF2B5EF4-FFF2-40B4-BE49-F238E27FC236}">
                      <a16:creationId xmlns:a16="http://schemas.microsoft.com/office/drawing/2014/main" id="{AB8DA797-FAA8-E34A-B75E-C5B375DDD30C}"/>
                    </a:ext>
                  </a:extLst>
                </xdr:cNvPr>
                <xdr:cNvSpPr txBox="1"/>
              </xdr:nvSpPr>
              <xdr:spPr>
                <a:xfrm>
                  <a:off x="11724579" y="2485969"/>
                  <a:ext cx="374785" cy="400109"/>
                </a:xfrm>
                <a:prstGeom prst="rect">
                  <a:avLst/>
                </a:prstGeom>
                <a:noFill/>
              </xdr:spPr>
              <xdr:txBody>
                <a:bodyPr wrap="square" rtlCol="0">
                  <a:spAutoFit/>
                </a:bodyP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b-NO" sz="700"/>
                    <a:t>1</a:t>
                  </a:r>
                </a:p>
              </xdr:txBody>
            </xdr:sp>
          </xdr:grpSp>
          <xdr:grpSp>
            <xdr:nvGrpSpPr>
              <xdr:cNvPr id="88" name="Group 87">
                <a:extLst>
                  <a:ext uri="{FF2B5EF4-FFF2-40B4-BE49-F238E27FC236}">
                    <a16:creationId xmlns:a16="http://schemas.microsoft.com/office/drawing/2014/main" id="{B997BBB3-60E7-4C4D-8FC2-86062E48CBB2}"/>
                  </a:ext>
                </a:extLst>
              </xdr:cNvPr>
              <xdr:cNvGrpSpPr/>
            </xdr:nvGrpSpPr>
            <xdr:grpSpPr>
              <a:xfrm>
                <a:off x="1069756" y="1810679"/>
                <a:ext cx="412298" cy="400110"/>
                <a:chOff x="11687066" y="2485969"/>
                <a:chExt cx="412298" cy="400110"/>
              </a:xfrm>
            </xdr:grpSpPr>
            <xdr:sp macro="" textlink="">
              <xdr:nvSpPr>
                <xdr:cNvPr id="104" name="Heptagon 103">
                  <a:extLst>
                    <a:ext uri="{FF2B5EF4-FFF2-40B4-BE49-F238E27FC236}">
                      <a16:creationId xmlns:a16="http://schemas.microsoft.com/office/drawing/2014/main" id="{2A8C8F31-AC7C-5948-8674-D74792201150}"/>
                    </a:ext>
                  </a:extLst>
                </xdr:cNvPr>
                <xdr:cNvSpPr/>
              </xdr:nvSpPr>
              <xdr:spPr>
                <a:xfrm>
                  <a:off x="11687066" y="2503870"/>
                  <a:ext cx="357789" cy="333923"/>
                </a:xfrm>
                <a:prstGeom prst="heptagon">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105" name="TextBox 64">
                  <a:extLst>
                    <a:ext uri="{FF2B5EF4-FFF2-40B4-BE49-F238E27FC236}">
                      <a16:creationId xmlns:a16="http://schemas.microsoft.com/office/drawing/2014/main" id="{FBF10DB9-8825-3C41-A11C-2F51F77B55A7}"/>
                    </a:ext>
                  </a:extLst>
                </xdr:cNvPr>
                <xdr:cNvSpPr txBox="1"/>
              </xdr:nvSpPr>
              <xdr:spPr>
                <a:xfrm>
                  <a:off x="11724579" y="2485969"/>
                  <a:ext cx="374785" cy="400110"/>
                </a:xfrm>
                <a:prstGeom prst="rect">
                  <a:avLst/>
                </a:prstGeom>
                <a:noFill/>
              </xdr:spPr>
              <xdr:txBody>
                <a:bodyPr wrap="square" rtlCol="0">
                  <a:spAutoFit/>
                </a:bodyP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b-NO" sz="700"/>
                    <a:t>2</a:t>
                  </a:r>
                </a:p>
              </xdr:txBody>
            </xdr:sp>
          </xdr:grpSp>
          <xdr:grpSp>
            <xdr:nvGrpSpPr>
              <xdr:cNvPr id="89" name="Group 88">
                <a:extLst>
                  <a:ext uri="{FF2B5EF4-FFF2-40B4-BE49-F238E27FC236}">
                    <a16:creationId xmlns:a16="http://schemas.microsoft.com/office/drawing/2014/main" id="{36C376EC-B6FF-484B-A1C5-ACDD7D92F62D}"/>
                  </a:ext>
                </a:extLst>
              </xdr:cNvPr>
              <xdr:cNvGrpSpPr/>
            </xdr:nvGrpSpPr>
            <xdr:grpSpPr>
              <a:xfrm>
                <a:off x="2125603" y="1809254"/>
                <a:ext cx="412298" cy="400110"/>
                <a:chOff x="11687066" y="2485969"/>
                <a:chExt cx="412298" cy="400110"/>
              </a:xfrm>
            </xdr:grpSpPr>
            <xdr:sp macro="" textlink="">
              <xdr:nvSpPr>
                <xdr:cNvPr id="102" name="Heptagon 101">
                  <a:extLst>
                    <a:ext uri="{FF2B5EF4-FFF2-40B4-BE49-F238E27FC236}">
                      <a16:creationId xmlns:a16="http://schemas.microsoft.com/office/drawing/2014/main" id="{79C90EE3-EBAA-1042-990A-3A8B6D5FADB3}"/>
                    </a:ext>
                  </a:extLst>
                </xdr:cNvPr>
                <xdr:cNvSpPr/>
              </xdr:nvSpPr>
              <xdr:spPr>
                <a:xfrm>
                  <a:off x="11687066" y="2503870"/>
                  <a:ext cx="357789" cy="333923"/>
                </a:xfrm>
                <a:prstGeom prst="heptagon">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103" name="TextBox 62">
                  <a:extLst>
                    <a:ext uri="{FF2B5EF4-FFF2-40B4-BE49-F238E27FC236}">
                      <a16:creationId xmlns:a16="http://schemas.microsoft.com/office/drawing/2014/main" id="{46415A43-A08F-0B43-AF11-6AFC8ACBA150}"/>
                    </a:ext>
                  </a:extLst>
                </xdr:cNvPr>
                <xdr:cNvSpPr txBox="1"/>
              </xdr:nvSpPr>
              <xdr:spPr>
                <a:xfrm>
                  <a:off x="11724579" y="2485969"/>
                  <a:ext cx="374785" cy="400110"/>
                </a:xfrm>
                <a:prstGeom prst="rect">
                  <a:avLst/>
                </a:prstGeom>
                <a:noFill/>
              </xdr:spPr>
              <xdr:txBody>
                <a:bodyPr wrap="square" rtlCol="0">
                  <a:spAutoFit/>
                </a:bodyP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b-NO" sz="700"/>
                    <a:t>3</a:t>
                  </a:r>
                </a:p>
              </xdr:txBody>
            </xdr:sp>
          </xdr:grpSp>
          <xdr:grpSp>
            <xdr:nvGrpSpPr>
              <xdr:cNvPr id="90" name="Group 89">
                <a:extLst>
                  <a:ext uri="{FF2B5EF4-FFF2-40B4-BE49-F238E27FC236}">
                    <a16:creationId xmlns:a16="http://schemas.microsoft.com/office/drawing/2014/main" id="{04F5B5FF-5A37-F340-97D4-75958D4E484D}"/>
                  </a:ext>
                </a:extLst>
              </xdr:cNvPr>
              <xdr:cNvGrpSpPr/>
            </xdr:nvGrpSpPr>
            <xdr:grpSpPr>
              <a:xfrm>
                <a:off x="976141" y="4877123"/>
                <a:ext cx="412298" cy="400110"/>
                <a:chOff x="11687066" y="2485969"/>
                <a:chExt cx="412298" cy="400110"/>
              </a:xfrm>
            </xdr:grpSpPr>
            <xdr:sp macro="" textlink="">
              <xdr:nvSpPr>
                <xdr:cNvPr id="100" name="Heptagon 99">
                  <a:extLst>
                    <a:ext uri="{FF2B5EF4-FFF2-40B4-BE49-F238E27FC236}">
                      <a16:creationId xmlns:a16="http://schemas.microsoft.com/office/drawing/2014/main" id="{FD30E5D6-67A4-0648-910C-550B120F9E19}"/>
                    </a:ext>
                  </a:extLst>
                </xdr:cNvPr>
                <xdr:cNvSpPr/>
              </xdr:nvSpPr>
              <xdr:spPr>
                <a:xfrm>
                  <a:off x="11687066" y="2503870"/>
                  <a:ext cx="357789" cy="333923"/>
                </a:xfrm>
                <a:prstGeom prst="heptagon">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101" name="TextBox 60">
                  <a:extLst>
                    <a:ext uri="{FF2B5EF4-FFF2-40B4-BE49-F238E27FC236}">
                      <a16:creationId xmlns:a16="http://schemas.microsoft.com/office/drawing/2014/main" id="{C007B139-66F9-A242-8CC2-D777C7FFCC52}"/>
                    </a:ext>
                  </a:extLst>
                </xdr:cNvPr>
                <xdr:cNvSpPr txBox="1"/>
              </xdr:nvSpPr>
              <xdr:spPr>
                <a:xfrm>
                  <a:off x="11724579" y="2485969"/>
                  <a:ext cx="374785" cy="400110"/>
                </a:xfrm>
                <a:prstGeom prst="rect">
                  <a:avLst/>
                </a:prstGeom>
                <a:noFill/>
              </xdr:spPr>
              <xdr:txBody>
                <a:bodyPr wrap="square" rtlCol="0">
                  <a:spAutoFit/>
                </a:bodyP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b-NO" sz="700"/>
                    <a:t>4</a:t>
                  </a:r>
                </a:p>
              </xdr:txBody>
            </xdr:sp>
          </xdr:grpSp>
          <xdr:grpSp>
            <xdr:nvGrpSpPr>
              <xdr:cNvPr id="91" name="Group 90">
                <a:extLst>
                  <a:ext uri="{FF2B5EF4-FFF2-40B4-BE49-F238E27FC236}">
                    <a16:creationId xmlns:a16="http://schemas.microsoft.com/office/drawing/2014/main" id="{FBFA126A-0D8C-8549-A31A-12EC47BDCF9C}"/>
                  </a:ext>
                </a:extLst>
              </xdr:cNvPr>
              <xdr:cNvGrpSpPr/>
            </xdr:nvGrpSpPr>
            <xdr:grpSpPr>
              <a:xfrm>
                <a:off x="2125603" y="4906142"/>
                <a:ext cx="412298" cy="400110"/>
                <a:chOff x="11687066" y="2485969"/>
                <a:chExt cx="412298" cy="400110"/>
              </a:xfrm>
            </xdr:grpSpPr>
            <xdr:sp macro="" textlink="">
              <xdr:nvSpPr>
                <xdr:cNvPr id="98" name="Heptagon 97">
                  <a:extLst>
                    <a:ext uri="{FF2B5EF4-FFF2-40B4-BE49-F238E27FC236}">
                      <a16:creationId xmlns:a16="http://schemas.microsoft.com/office/drawing/2014/main" id="{35B85564-B96F-154A-8129-DB507733F7A0}"/>
                    </a:ext>
                  </a:extLst>
                </xdr:cNvPr>
                <xdr:cNvSpPr/>
              </xdr:nvSpPr>
              <xdr:spPr>
                <a:xfrm>
                  <a:off x="11687066" y="2503870"/>
                  <a:ext cx="357789" cy="333923"/>
                </a:xfrm>
                <a:prstGeom prst="heptagon">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99" name="TextBox 58">
                  <a:extLst>
                    <a:ext uri="{FF2B5EF4-FFF2-40B4-BE49-F238E27FC236}">
                      <a16:creationId xmlns:a16="http://schemas.microsoft.com/office/drawing/2014/main" id="{5B48515F-BD43-F949-9CBC-C006A82BD000}"/>
                    </a:ext>
                  </a:extLst>
                </xdr:cNvPr>
                <xdr:cNvSpPr txBox="1"/>
              </xdr:nvSpPr>
              <xdr:spPr>
                <a:xfrm>
                  <a:off x="11724579" y="2485969"/>
                  <a:ext cx="374785" cy="400110"/>
                </a:xfrm>
                <a:prstGeom prst="rect">
                  <a:avLst/>
                </a:prstGeom>
                <a:noFill/>
              </xdr:spPr>
              <xdr:txBody>
                <a:bodyPr wrap="square" rtlCol="0">
                  <a:spAutoFit/>
                </a:bodyP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b-NO" sz="700"/>
                    <a:t>5</a:t>
                  </a:r>
                </a:p>
              </xdr:txBody>
            </xdr:sp>
          </xdr:grpSp>
          <xdr:grpSp>
            <xdr:nvGrpSpPr>
              <xdr:cNvPr id="92" name="Group 91">
                <a:extLst>
                  <a:ext uri="{FF2B5EF4-FFF2-40B4-BE49-F238E27FC236}">
                    <a16:creationId xmlns:a16="http://schemas.microsoft.com/office/drawing/2014/main" id="{2DAF107F-A5CD-774E-8682-4F9BC3D8D1DE}"/>
                  </a:ext>
                </a:extLst>
              </xdr:cNvPr>
              <xdr:cNvGrpSpPr/>
            </xdr:nvGrpSpPr>
            <xdr:grpSpPr>
              <a:xfrm>
                <a:off x="11771358" y="4717227"/>
                <a:ext cx="412298" cy="400110"/>
                <a:chOff x="11687066" y="2485969"/>
                <a:chExt cx="412298" cy="400110"/>
              </a:xfrm>
            </xdr:grpSpPr>
            <xdr:sp macro="" textlink="">
              <xdr:nvSpPr>
                <xdr:cNvPr id="96" name="Heptagon 95">
                  <a:extLst>
                    <a:ext uri="{FF2B5EF4-FFF2-40B4-BE49-F238E27FC236}">
                      <a16:creationId xmlns:a16="http://schemas.microsoft.com/office/drawing/2014/main" id="{C665893A-13BA-4841-ABBB-9661B812EE43}"/>
                    </a:ext>
                  </a:extLst>
                </xdr:cNvPr>
                <xdr:cNvSpPr/>
              </xdr:nvSpPr>
              <xdr:spPr>
                <a:xfrm>
                  <a:off x="11687066" y="2503870"/>
                  <a:ext cx="357789" cy="333923"/>
                </a:xfrm>
                <a:prstGeom prst="heptagon">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97" name="TextBox 56">
                  <a:extLst>
                    <a:ext uri="{FF2B5EF4-FFF2-40B4-BE49-F238E27FC236}">
                      <a16:creationId xmlns:a16="http://schemas.microsoft.com/office/drawing/2014/main" id="{C6B2D950-788D-D84D-908B-75E71B5797BC}"/>
                    </a:ext>
                  </a:extLst>
                </xdr:cNvPr>
                <xdr:cNvSpPr txBox="1"/>
              </xdr:nvSpPr>
              <xdr:spPr>
                <a:xfrm>
                  <a:off x="11724579" y="2485969"/>
                  <a:ext cx="374785" cy="400110"/>
                </a:xfrm>
                <a:prstGeom prst="rect">
                  <a:avLst/>
                </a:prstGeom>
                <a:noFill/>
              </xdr:spPr>
              <xdr:txBody>
                <a:bodyPr wrap="square" rtlCol="0">
                  <a:spAutoFit/>
                </a:bodyP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b-NO" sz="700"/>
                    <a:t>6</a:t>
                  </a:r>
                </a:p>
              </xdr:txBody>
            </xdr:sp>
          </xdr:grpSp>
          <xdr:grpSp>
            <xdr:nvGrpSpPr>
              <xdr:cNvPr id="93" name="Group 92">
                <a:extLst>
                  <a:ext uri="{FF2B5EF4-FFF2-40B4-BE49-F238E27FC236}">
                    <a16:creationId xmlns:a16="http://schemas.microsoft.com/office/drawing/2014/main" id="{576596C9-398F-F346-98EB-385FC09A23CA}"/>
                  </a:ext>
                </a:extLst>
              </xdr:cNvPr>
              <xdr:cNvGrpSpPr/>
            </xdr:nvGrpSpPr>
            <xdr:grpSpPr>
              <a:xfrm>
                <a:off x="6324345" y="2988275"/>
                <a:ext cx="412298" cy="400110"/>
                <a:chOff x="11687066" y="2485969"/>
                <a:chExt cx="412298" cy="400110"/>
              </a:xfrm>
            </xdr:grpSpPr>
            <xdr:sp macro="" textlink="">
              <xdr:nvSpPr>
                <xdr:cNvPr id="94" name="Heptagon 93">
                  <a:extLst>
                    <a:ext uri="{FF2B5EF4-FFF2-40B4-BE49-F238E27FC236}">
                      <a16:creationId xmlns:a16="http://schemas.microsoft.com/office/drawing/2014/main" id="{20D2F2F1-BD77-6D42-B083-BF1415AD9CD8}"/>
                    </a:ext>
                  </a:extLst>
                </xdr:cNvPr>
                <xdr:cNvSpPr/>
              </xdr:nvSpPr>
              <xdr:spPr>
                <a:xfrm>
                  <a:off x="11687066" y="2503870"/>
                  <a:ext cx="357789" cy="333923"/>
                </a:xfrm>
                <a:prstGeom prst="heptagon">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b-NO" sz="700"/>
                </a:p>
              </xdr:txBody>
            </xdr:sp>
            <xdr:sp macro="" textlink="">
              <xdr:nvSpPr>
                <xdr:cNvPr id="95" name="TextBox 54">
                  <a:extLst>
                    <a:ext uri="{FF2B5EF4-FFF2-40B4-BE49-F238E27FC236}">
                      <a16:creationId xmlns:a16="http://schemas.microsoft.com/office/drawing/2014/main" id="{9FA91C91-45D4-2542-9331-FD02C5809C4C}"/>
                    </a:ext>
                  </a:extLst>
                </xdr:cNvPr>
                <xdr:cNvSpPr txBox="1"/>
              </xdr:nvSpPr>
              <xdr:spPr>
                <a:xfrm>
                  <a:off x="11724579" y="2485969"/>
                  <a:ext cx="374785" cy="400110"/>
                </a:xfrm>
                <a:prstGeom prst="rect">
                  <a:avLst/>
                </a:prstGeom>
                <a:noFill/>
              </xdr:spPr>
              <xdr:txBody>
                <a:bodyPr wrap="square" rtlCol="0">
                  <a:spAutoFit/>
                </a:bodyP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b-NO" sz="700"/>
                    <a:t>7</a:t>
                  </a:r>
                </a:p>
              </xdr:txBody>
            </xdr:sp>
          </xdr:grpSp>
        </xdr:grpSp>
      </xdr:grpSp>
      <xdr:sp macro="" textlink="">
        <xdr:nvSpPr>
          <xdr:cNvPr id="74" name="TextBox 67">
            <a:extLst>
              <a:ext uri="{FF2B5EF4-FFF2-40B4-BE49-F238E27FC236}">
                <a16:creationId xmlns:a16="http://schemas.microsoft.com/office/drawing/2014/main" id="{5E0FE8EF-25AD-F64B-A326-012EDDF4FE3D}"/>
              </a:ext>
            </a:extLst>
          </xdr:cNvPr>
          <xdr:cNvSpPr txBox="1"/>
        </xdr:nvSpPr>
        <xdr:spPr>
          <a:xfrm>
            <a:off x="345614" y="-31725"/>
            <a:ext cx="1363707" cy="369332"/>
          </a:xfrm>
          <a:prstGeom prst="rect">
            <a:avLst/>
          </a:prstGeom>
          <a:noFill/>
        </xdr:spPr>
        <xdr:txBody>
          <a:bodyPr wrap="square" rtlCol="0">
            <a:spAutoFit/>
          </a:bodyP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b-NO"/>
              <a:t>Hjelp - norsk</a:t>
            </a:r>
          </a:p>
        </xdr:txBody>
      </xdr:sp>
      <xdr:sp macro="" textlink="">
        <xdr:nvSpPr>
          <xdr:cNvPr id="75" name="TextBox 68">
            <a:extLst>
              <a:ext uri="{FF2B5EF4-FFF2-40B4-BE49-F238E27FC236}">
                <a16:creationId xmlns:a16="http://schemas.microsoft.com/office/drawing/2014/main" id="{1BE2DB98-B423-0D47-84E4-371BE0CD678A}"/>
              </a:ext>
            </a:extLst>
          </xdr:cNvPr>
          <xdr:cNvSpPr txBox="1"/>
        </xdr:nvSpPr>
        <xdr:spPr>
          <a:xfrm>
            <a:off x="351114" y="3461990"/>
            <a:ext cx="1455848" cy="369332"/>
          </a:xfrm>
          <a:prstGeom prst="rect">
            <a:avLst/>
          </a:prstGeom>
          <a:noFill/>
        </xdr:spPr>
        <xdr:txBody>
          <a:bodyPr wrap="square" rtlCol="0">
            <a:spAutoFit/>
          </a:bodyPr>
          <a:lstStyle>
            <a:defPPr>
              <a:defRPr lang="nb-N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b-NO"/>
              <a:t>Help - English</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40</xdr:col>
      <xdr:colOff>571501</xdr:colOff>
      <xdr:row>46</xdr:row>
      <xdr:rowOff>143387</xdr:rowOff>
    </xdr:from>
    <xdr:to>
      <xdr:col>44</xdr:col>
      <xdr:colOff>1615403</xdr:colOff>
      <xdr:row>77</xdr:row>
      <xdr:rowOff>22931</xdr:rowOff>
    </xdr:to>
    <xdr:graphicFrame macro="">
      <xdr:nvGraphicFramePr>
        <xdr:cNvPr id="1025" name="Chart 1">
          <a:extLst>
            <a:ext uri="{FF2B5EF4-FFF2-40B4-BE49-F238E27FC236}">
              <a16:creationId xmlns:a16="http://schemas.microsoft.com/office/drawing/2014/main" id="{008E5B48-23FC-4448-BEB9-A61B3E3CB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793495</xdr:colOff>
      <xdr:row>46</xdr:row>
      <xdr:rowOff>121708</xdr:rowOff>
    </xdr:from>
    <xdr:to>
      <xdr:col>40</xdr:col>
      <xdr:colOff>270934</xdr:colOff>
      <xdr:row>77</xdr:row>
      <xdr:rowOff>7761</xdr:rowOff>
    </xdr:to>
    <xdr:graphicFrame macro="">
      <xdr:nvGraphicFramePr>
        <xdr:cNvPr id="1026" name="Chart 2">
          <a:extLst>
            <a:ext uri="{FF2B5EF4-FFF2-40B4-BE49-F238E27FC236}">
              <a16:creationId xmlns:a16="http://schemas.microsoft.com/office/drawing/2014/main" id="{63DF3DC8-672A-3A4B-AA6F-18FD2E5D6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xdr:colOff>
      <xdr:row>46</xdr:row>
      <xdr:rowOff>128057</xdr:rowOff>
    </xdr:from>
    <xdr:to>
      <xdr:col>30</xdr:col>
      <xdr:colOff>355601</xdr:colOff>
      <xdr:row>77</xdr:row>
      <xdr:rowOff>37391</xdr:rowOff>
    </xdr:to>
    <xdr:graphicFrame macro="">
      <xdr:nvGraphicFramePr>
        <xdr:cNvPr id="1027" name="Chart 3">
          <a:extLst>
            <a:ext uri="{FF2B5EF4-FFF2-40B4-BE49-F238E27FC236}">
              <a16:creationId xmlns:a16="http://schemas.microsoft.com/office/drawing/2014/main" id="{E1D7FD64-D9D0-D143-A53C-5568CEA34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29634</xdr:colOff>
      <xdr:row>3</xdr:row>
      <xdr:rowOff>141817</xdr:rowOff>
    </xdr:from>
    <xdr:to>
      <xdr:col>41</xdr:col>
      <xdr:colOff>86784</xdr:colOff>
      <xdr:row>25</xdr:row>
      <xdr:rowOff>67734</xdr:rowOff>
    </xdr:to>
    <xdr:graphicFrame macro="">
      <xdr:nvGraphicFramePr>
        <xdr:cNvPr id="1028" name="Chart 4">
          <a:extLst>
            <a:ext uri="{FF2B5EF4-FFF2-40B4-BE49-F238E27FC236}">
              <a16:creationId xmlns:a16="http://schemas.microsoft.com/office/drawing/2014/main" id="{0478F32F-4C2F-5B43-9617-4D89914BEA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577143</xdr:colOff>
      <xdr:row>46</xdr:row>
      <xdr:rowOff>129822</xdr:rowOff>
    </xdr:from>
    <xdr:to>
      <xdr:col>35</xdr:col>
      <xdr:colOff>493889</xdr:colOff>
      <xdr:row>77</xdr:row>
      <xdr:rowOff>39156</xdr:rowOff>
    </xdr:to>
    <xdr:graphicFrame macro="">
      <xdr:nvGraphicFramePr>
        <xdr:cNvPr id="6" name="Chart 3">
          <a:extLst>
            <a:ext uri="{FF2B5EF4-FFF2-40B4-BE49-F238E27FC236}">
              <a16:creationId xmlns:a16="http://schemas.microsoft.com/office/drawing/2014/main" id="{5CCC9882-2FD6-754B-B9B5-D4C8C4660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914400</xdr:colOff>
      <xdr:row>26</xdr:row>
      <xdr:rowOff>0</xdr:rowOff>
    </xdr:from>
    <xdr:to>
      <xdr:col>16</xdr:col>
      <xdr:colOff>215900</xdr:colOff>
      <xdr:row>75</xdr:row>
      <xdr:rowOff>25400</xdr:rowOff>
    </xdr:to>
    <xdr:pic>
      <xdr:nvPicPr>
        <xdr:cNvPr id="2" name="Picture 1">
          <a:extLst>
            <a:ext uri="{FF2B5EF4-FFF2-40B4-BE49-F238E27FC236}">
              <a16:creationId xmlns:a16="http://schemas.microsoft.com/office/drawing/2014/main" id="{B31FBED4-EC73-2249-9FD2-CE92E073C8A5}"/>
            </a:ext>
          </a:extLst>
        </xdr:cNvPr>
        <xdr:cNvPicPr>
          <a:picLocks noChangeAspect="1"/>
        </xdr:cNvPicPr>
      </xdr:nvPicPr>
      <xdr:blipFill>
        <a:blip xmlns:r="http://schemas.openxmlformats.org/officeDocument/2006/relationships" r:embed="rId1"/>
        <a:stretch>
          <a:fillRect/>
        </a:stretch>
      </xdr:blipFill>
      <xdr:spPr>
        <a:xfrm>
          <a:off x="8534400" y="4699000"/>
          <a:ext cx="6921500" cy="873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25400</xdr:colOff>
      <xdr:row>32</xdr:row>
      <xdr:rowOff>25400</xdr:rowOff>
    </xdr:from>
    <xdr:to>
      <xdr:col>9</xdr:col>
      <xdr:colOff>368300</xdr:colOff>
      <xdr:row>67</xdr:row>
      <xdr:rowOff>114300</xdr:rowOff>
    </xdr:to>
    <xdr:pic>
      <xdr:nvPicPr>
        <xdr:cNvPr id="4" name="Picture 3">
          <a:extLst>
            <a:ext uri="{FF2B5EF4-FFF2-40B4-BE49-F238E27FC236}">
              <a16:creationId xmlns:a16="http://schemas.microsoft.com/office/drawing/2014/main" id="{A2F74130-3D07-254F-960A-CC099B31AF48}"/>
            </a:ext>
          </a:extLst>
        </xdr:cNvPr>
        <xdr:cNvPicPr>
          <a:picLocks noChangeAspect="1"/>
        </xdr:cNvPicPr>
      </xdr:nvPicPr>
      <xdr:blipFill>
        <a:blip xmlns:r="http://schemas.openxmlformats.org/officeDocument/2006/relationships" r:embed="rId1"/>
        <a:stretch>
          <a:fillRect/>
        </a:stretch>
      </xdr:blipFill>
      <xdr:spPr>
        <a:xfrm>
          <a:off x="6134100" y="7302500"/>
          <a:ext cx="5041900" cy="6756400"/>
        </a:xfrm>
        <a:prstGeom prst="rect">
          <a:avLst/>
        </a:prstGeom>
      </xdr:spPr>
    </xdr:pic>
    <xdr:clientData/>
  </xdr:twoCellAnchor>
  <xdr:twoCellAnchor editAs="oneCell">
    <xdr:from>
      <xdr:col>0</xdr:col>
      <xdr:colOff>0</xdr:colOff>
      <xdr:row>32</xdr:row>
      <xdr:rowOff>0</xdr:rowOff>
    </xdr:from>
    <xdr:to>
      <xdr:col>3</xdr:col>
      <xdr:colOff>838200</xdr:colOff>
      <xdr:row>67</xdr:row>
      <xdr:rowOff>88900</xdr:rowOff>
    </xdr:to>
    <xdr:pic>
      <xdr:nvPicPr>
        <xdr:cNvPr id="5" name="Picture 4">
          <a:extLst>
            <a:ext uri="{FF2B5EF4-FFF2-40B4-BE49-F238E27FC236}">
              <a16:creationId xmlns:a16="http://schemas.microsoft.com/office/drawing/2014/main" id="{DA3BE35F-AA7F-C148-96F3-0BC3F493F8D0}"/>
            </a:ext>
          </a:extLst>
        </xdr:cNvPr>
        <xdr:cNvPicPr>
          <a:picLocks noChangeAspect="1"/>
        </xdr:cNvPicPr>
      </xdr:nvPicPr>
      <xdr:blipFill>
        <a:blip xmlns:r="http://schemas.openxmlformats.org/officeDocument/2006/relationships" r:embed="rId2"/>
        <a:stretch>
          <a:fillRect/>
        </a:stretch>
      </xdr:blipFill>
      <xdr:spPr>
        <a:xfrm>
          <a:off x="0" y="7277100"/>
          <a:ext cx="5041900" cy="6756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153E-88E3-3B4C-A1F8-2A522C13CB07}">
  <sheetPr codeName="Sheet1"/>
  <dimension ref="A1:H48"/>
  <sheetViews>
    <sheetView zoomScale="90" zoomScaleNormal="90" workbookViewId="0">
      <selection activeCell="I36" sqref="I36"/>
    </sheetView>
  </sheetViews>
  <sheetFormatPr baseColWidth="10" defaultColWidth="10.7109375" defaultRowHeight="14" x14ac:dyDescent="0.2"/>
  <cols>
    <col min="1" max="1" width="49.5703125" style="90" customWidth="1"/>
    <col min="2" max="2" width="19.140625" style="90" customWidth="1"/>
    <col min="3" max="3" width="6.5703125" style="90" customWidth="1"/>
    <col min="4" max="4" width="26.42578125" style="3" customWidth="1"/>
    <col min="5" max="5" width="9.28515625" style="90" customWidth="1"/>
    <col min="6" max="6" width="30.85546875" style="3" customWidth="1"/>
    <col min="7" max="7" width="4.42578125" style="90" customWidth="1"/>
    <col min="8" max="8" width="5" style="90" customWidth="1"/>
    <col min="9" max="16384" width="10.7109375" style="90"/>
  </cols>
  <sheetData>
    <row r="1" spans="1:8" ht="35" customHeight="1" x14ac:dyDescent="0.2">
      <c r="A1" s="406" t="s">
        <v>646</v>
      </c>
      <c r="B1" s="406"/>
      <c r="C1" s="406"/>
      <c r="D1" s="406"/>
      <c r="E1" s="406"/>
      <c r="F1" s="406"/>
      <c r="G1" s="406"/>
      <c r="H1" s="406"/>
    </row>
    <row r="2" spans="1:8" ht="26" x14ac:dyDescent="0.3">
      <c r="A2" s="407" t="s">
        <v>297</v>
      </c>
      <c r="B2" s="407"/>
      <c r="C2" s="407"/>
      <c r="D2" s="407"/>
      <c r="E2" s="407"/>
      <c r="F2" s="407"/>
      <c r="G2" s="407"/>
      <c r="H2" s="407"/>
    </row>
    <row r="3" spans="1:8" x14ac:dyDescent="0.2">
      <c r="A3" s="6"/>
      <c r="B3" s="6"/>
      <c r="C3" s="6"/>
      <c r="D3" s="137"/>
      <c r="E3" s="6"/>
      <c r="F3" s="137"/>
      <c r="G3" s="6"/>
      <c r="H3" s="6"/>
    </row>
    <row r="4" spans="1:8" ht="30" customHeight="1" x14ac:dyDescent="0.2">
      <c r="A4" s="78"/>
      <c r="B4" s="78"/>
      <c r="C4" s="78"/>
      <c r="D4" s="91"/>
      <c r="E4" s="78"/>
      <c r="F4" s="91"/>
      <c r="G4" s="78"/>
      <c r="H4" s="78"/>
    </row>
    <row r="5" spans="1:8" ht="31" customHeight="1" thickBot="1" x14ac:dyDescent="0.25">
      <c r="A5" s="79" t="s">
        <v>254</v>
      </c>
      <c r="B5" s="417"/>
      <c r="C5" s="417"/>
      <c r="D5" s="417"/>
      <c r="E5" s="417"/>
      <c r="F5" s="417"/>
      <c r="G5" s="417"/>
      <c r="H5" s="78"/>
    </row>
    <row r="6" spans="1:8" ht="28" customHeight="1" thickBot="1" x14ac:dyDescent="0.25">
      <c r="A6" s="79" t="s">
        <v>255</v>
      </c>
      <c r="B6" s="417"/>
      <c r="C6" s="417"/>
      <c r="D6" s="417"/>
      <c r="E6" s="417"/>
      <c r="F6" s="417"/>
      <c r="G6" s="417"/>
      <c r="H6" s="78"/>
    </row>
    <row r="7" spans="1:8" ht="31" customHeight="1" thickBot="1" x14ac:dyDescent="0.25">
      <c r="A7" s="80" t="s">
        <v>256</v>
      </c>
      <c r="B7" s="417"/>
      <c r="C7" s="417"/>
      <c r="D7" s="417"/>
      <c r="E7" s="417"/>
      <c r="F7" s="417"/>
      <c r="G7" s="417"/>
      <c r="H7" s="78"/>
    </row>
    <row r="8" spans="1:8" x14ac:dyDescent="0.2">
      <c r="A8" s="81"/>
      <c r="B8" s="78"/>
      <c r="C8" s="78"/>
      <c r="D8" s="91"/>
      <c r="E8" s="78"/>
      <c r="F8" s="91"/>
      <c r="G8" s="78"/>
      <c r="H8" s="78"/>
    </row>
    <row r="9" spans="1:8" ht="46" thickBot="1" x14ac:dyDescent="0.25">
      <c r="A9" s="82" t="s">
        <v>271</v>
      </c>
      <c r="B9" s="417"/>
      <c r="C9" s="417"/>
      <c r="D9" s="417"/>
      <c r="E9" s="417"/>
      <c r="F9" s="417"/>
      <c r="G9" s="417"/>
      <c r="H9" s="78"/>
    </row>
    <row r="10" spans="1:8" ht="16" thickBot="1" x14ac:dyDescent="0.25">
      <c r="A10" s="83"/>
      <c r="B10" s="78"/>
      <c r="C10" s="78"/>
      <c r="D10" s="91"/>
      <c r="E10" s="78"/>
      <c r="F10" s="91"/>
      <c r="G10" s="78"/>
      <c r="H10" s="78"/>
    </row>
    <row r="11" spans="1:8" ht="25" customHeight="1" thickBot="1" x14ac:dyDescent="0.25">
      <c r="A11" s="83" t="s">
        <v>257</v>
      </c>
      <c r="B11" s="84" t="s">
        <v>272</v>
      </c>
      <c r="C11" s="129"/>
      <c r="D11" s="92" t="s">
        <v>259</v>
      </c>
      <c r="E11" s="129"/>
      <c r="F11" s="92" t="s">
        <v>258</v>
      </c>
      <c r="G11" s="129"/>
      <c r="H11" s="78"/>
    </row>
    <row r="12" spans="1:8" ht="16" thickBot="1" x14ac:dyDescent="0.25">
      <c r="A12" s="83"/>
      <c r="B12" s="78"/>
      <c r="C12" s="78"/>
      <c r="D12" s="91"/>
      <c r="E12" s="78"/>
      <c r="F12" s="91"/>
      <c r="G12" s="78"/>
      <c r="H12" s="78"/>
    </row>
    <row r="13" spans="1:8" ht="24" customHeight="1" thickBot="1" x14ac:dyDescent="0.25">
      <c r="A13" s="83" t="s">
        <v>260</v>
      </c>
      <c r="B13" s="84" t="s">
        <v>263</v>
      </c>
      <c r="C13" s="129"/>
      <c r="D13" s="92" t="s">
        <v>264</v>
      </c>
      <c r="E13" s="129"/>
      <c r="F13" s="92" t="s">
        <v>265</v>
      </c>
      <c r="G13" s="129"/>
      <c r="H13" s="78"/>
    </row>
    <row r="14" spans="1:8" ht="16" thickBot="1" x14ac:dyDescent="0.25">
      <c r="A14" s="83"/>
      <c r="B14" s="78"/>
      <c r="C14" s="78"/>
      <c r="D14" s="91"/>
      <c r="E14" s="78"/>
      <c r="F14" s="91"/>
      <c r="G14" s="78"/>
      <c r="H14" s="78"/>
    </row>
    <row r="15" spans="1:8" s="76" customFormat="1" ht="27" customHeight="1" thickBot="1" x14ac:dyDescent="0.25">
      <c r="A15" s="83" t="s">
        <v>261</v>
      </c>
      <c r="B15" s="84" t="s">
        <v>262</v>
      </c>
      <c r="C15" s="85"/>
      <c r="D15" s="92" t="s">
        <v>267</v>
      </c>
      <c r="E15" s="129"/>
      <c r="F15" s="92" t="s">
        <v>268</v>
      </c>
      <c r="G15" s="129"/>
      <c r="H15" s="78"/>
    </row>
    <row r="16" spans="1:8" ht="16" thickBot="1" x14ac:dyDescent="0.25">
      <c r="A16" s="86"/>
      <c r="B16" s="87"/>
      <c r="C16" s="85"/>
      <c r="D16" s="93"/>
      <c r="E16" s="85"/>
      <c r="F16" s="93"/>
      <c r="G16" s="85"/>
      <c r="H16" s="78"/>
    </row>
    <row r="17" spans="1:8" s="76" customFormat="1" ht="25" customHeight="1" thickBot="1" x14ac:dyDescent="0.25">
      <c r="A17" s="83"/>
      <c r="B17" s="84" t="s">
        <v>269</v>
      </c>
      <c r="C17" s="85"/>
      <c r="D17" s="92"/>
      <c r="E17" s="129"/>
      <c r="F17" s="92"/>
      <c r="G17" s="85"/>
      <c r="H17" s="78"/>
    </row>
    <row r="18" spans="1:8" ht="18" customHeight="1" thickBot="1" x14ac:dyDescent="0.25">
      <c r="A18" s="86"/>
      <c r="B18" s="87"/>
      <c r="C18" s="85"/>
      <c r="D18" s="93"/>
      <c r="E18" s="85"/>
      <c r="F18" s="93"/>
      <c r="G18" s="85"/>
      <c r="H18" s="78"/>
    </row>
    <row r="19" spans="1:8" ht="28" customHeight="1" thickBot="1" x14ac:dyDescent="0.25">
      <c r="A19" s="83"/>
      <c r="B19" s="84" t="s">
        <v>270</v>
      </c>
      <c r="C19" s="85"/>
      <c r="D19" s="92"/>
      <c r="E19" s="129"/>
      <c r="F19" s="92"/>
      <c r="G19" s="85"/>
      <c r="H19" s="78"/>
    </row>
    <row r="20" spans="1:8" ht="16" thickBot="1" x14ac:dyDescent="0.25">
      <c r="A20" s="83"/>
      <c r="B20" s="78"/>
      <c r="C20" s="78"/>
      <c r="D20" s="91"/>
      <c r="E20" s="78"/>
      <c r="F20" s="91"/>
      <c r="G20" s="78"/>
      <c r="H20" s="78"/>
    </row>
    <row r="21" spans="1:8" ht="16" x14ac:dyDescent="0.2">
      <c r="A21" s="88" t="s">
        <v>266</v>
      </c>
      <c r="B21" s="408"/>
      <c r="C21" s="409"/>
      <c r="D21" s="409"/>
      <c r="E21" s="409"/>
      <c r="F21" s="409"/>
      <c r="G21" s="410"/>
      <c r="H21" s="78"/>
    </row>
    <row r="22" spans="1:8" x14ac:dyDescent="0.2">
      <c r="A22" s="78"/>
      <c r="B22" s="411"/>
      <c r="C22" s="412"/>
      <c r="D22" s="412"/>
      <c r="E22" s="412"/>
      <c r="F22" s="412"/>
      <c r="G22" s="413"/>
      <c r="H22" s="78"/>
    </row>
    <row r="23" spans="1:8" x14ac:dyDescent="0.2">
      <c r="A23" s="78"/>
      <c r="B23" s="411"/>
      <c r="C23" s="412"/>
      <c r="D23" s="412"/>
      <c r="E23" s="412"/>
      <c r="F23" s="412"/>
      <c r="G23" s="413"/>
      <c r="H23" s="78"/>
    </row>
    <row r="24" spans="1:8" x14ac:dyDescent="0.2">
      <c r="A24" s="78"/>
      <c r="B24" s="411"/>
      <c r="C24" s="412"/>
      <c r="D24" s="412"/>
      <c r="E24" s="412"/>
      <c r="F24" s="412"/>
      <c r="G24" s="413"/>
      <c r="H24" s="78"/>
    </row>
    <row r="25" spans="1:8" x14ac:dyDescent="0.2">
      <c r="A25" s="78"/>
      <c r="B25" s="411"/>
      <c r="C25" s="412"/>
      <c r="D25" s="412"/>
      <c r="E25" s="412"/>
      <c r="F25" s="412"/>
      <c r="G25" s="413"/>
      <c r="H25" s="78"/>
    </row>
    <row r="26" spans="1:8" x14ac:dyDescent="0.2">
      <c r="A26" s="78"/>
      <c r="B26" s="411"/>
      <c r="C26" s="412"/>
      <c r="D26" s="412"/>
      <c r="E26" s="412"/>
      <c r="F26" s="412"/>
      <c r="G26" s="413"/>
      <c r="H26" s="78"/>
    </row>
    <row r="27" spans="1:8" x14ac:dyDescent="0.2">
      <c r="A27" s="78"/>
      <c r="B27" s="411"/>
      <c r="C27" s="412"/>
      <c r="D27" s="412"/>
      <c r="E27" s="412"/>
      <c r="F27" s="412"/>
      <c r="G27" s="413"/>
      <c r="H27" s="78"/>
    </row>
    <row r="28" spans="1:8" ht="15" thickBot="1" x14ac:dyDescent="0.25">
      <c r="A28" s="78"/>
      <c r="B28" s="414"/>
      <c r="C28" s="415"/>
      <c r="D28" s="415"/>
      <c r="E28" s="415"/>
      <c r="F28" s="415"/>
      <c r="G28" s="416"/>
      <c r="H28" s="78"/>
    </row>
    <row r="29" spans="1:8" ht="28" customHeight="1" x14ac:dyDescent="0.2">
      <c r="A29" s="78"/>
      <c r="B29" s="78"/>
      <c r="C29" s="78"/>
      <c r="D29" s="91"/>
      <c r="E29" s="78"/>
      <c r="F29" s="91"/>
      <c r="G29" s="78"/>
      <c r="H29" s="78"/>
    </row>
    <row r="30" spans="1:8" ht="32" customHeight="1" thickBot="1" x14ac:dyDescent="0.25">
      <c r="A30" s="84" t="s">
        <v>273</v>
      </c>
      <c r="B30" s="417"/>
      <c r="C30" s="417"/>
      <c r="D30" s="417"/>
      <c r="E30" s="417"/>
      <c r="F30" s="417"/>
      <c r="G30" s="417"/>
      <c r="H30" s="78"/>
    </row>
    <row r="31" spans="1:8" ht="26" customHeight="1" thickBot="1" x14ac:dyDescent="0.25">
      <c r="A31" s="84" t="s">
        <v>274</v>
      </c>
      <c r="B31" s="130"/>
      <c r="C31" s="78"/>
      <c r="D31" s="91"/>
      <c r="E31" s="78"/>
      <c r="F31" s="91"/>
      <c r="G31" s="78"/>
      <c r="H31" s="78"/>
    </row>
    <row r="32" spans="1:8" ht="15" thickBot="1" x14ac:dyDescent="0.25">
      <c r="A32" s="78"/>
      <c r="B32" s="78"/>
      <c r="C32" s="78"/>
      <c r="D32" s="91"/>
      <c r="E32" s="78"/>
      <c r="F32" s="91"/>
      <c r="G32" s="78"/>
      <c r="H32" s="78"/>
    </row>
    <row r="33" spans="1:8" ht="21" customHeight="1" thickBot="1" x14ac:dyDescent="0.25">
      <c r="A33" s="84" t="s">
        <v>275</v>
      </c>
      <c r="B33" s="84" t="s">
        <v>276</v>
      </c>
      <c r="C33" s="129"/>
      <c r="D33" s="92" t="s">
        <v>277</v>
      </c>
      <c r="E33" s="129"/>
      <c r="F33" s="91"/>
      <c r="G33" s="78"/>
      <c r="H33" s="78"/>
    </row>
    <row r="34" spans="1:8" ht="15" thickBot="1" x14ac:dyDescent="0.25">
      <c r="A34" s="78"/>
      <c r="B34" s="78"/>
      <c r="C34" s="78"/>
      <c r="D34" s="91"/>
      <c r="E34" s="78"/>
      <c r="F34" s="91"/>
      <c r="G34" s="78"/>
      <c r="H34" s="78"/>
    </row>
    <row r="35" spans="1:8" ht="23" customHeight="1" thickBot="1" x14ac:dyDescent="0.25">
      <c r="A35" s="84" t="s">
        <v>278</v>
      </c>
      <c r="B35" s="84" t="s">
        <v>279</v>
      </c>
      <c r="C35" s="129"/>
      <c r="D35" s="92" t="s">
        <v>280</v>
      </c>
      <c r="E35" s="129"/>
      <c r="F35" s="91"/>
      <c r="G35" s="78"/>
      <c r="H35" s="78"/>
    </row>
    <row r="36" spans="1:8" ht="23" customHeight="1" x14ac:dyDescent="0.2">
      <c r="A36" s="78"/>
      <c r="B36" s="78"/>
      <c r="C36" s="78"/>
      <c r="D36" s="91"/>
      <c r="E36" s="78"/>
      <c r="F36" s="91"/>
      <c r="G36" s="78"/>
      <c r="H36" s="78"/>
    </row>
    <row r="37" spans="1:8" ht="28" customHeight="1" thickBot="1" x14ac:dyDescent="0.25">
      <c r="A37" s="84" t="s">
        <v>281</v>
      </c>
      <c r="B37" s="131"/>
      <c r="C37" s="78"/>
      <c r="D37" s="91"/>
      <c r="E37" s="78"/>
      <c r="F37" s="91"/>
      <c r="G37" s="78"/>
      <c r="H37" s="78"/>
    </row>
    <row r="38" spans="1:8" ht="15" thickBot="1" x14ac:dyDescent="0.25">
      <c r="A38" s="78"/>
      <c r="B38" s="78"/>
      <c r="C38" s="78"/>
      <c r="D38" s="91"/>
      <c r="E38" s="78"/>
      <c r="F38" s="91"/>
      <c r="G38" s="78"/>
      <c r="H38" s="78"/>
    </row>
    <row r="39" spans="1:8" ht="18" customHeight="1" x14ac:dyDescent="0.2">
      <c r="A39" s="89" t="s">
        <v>282</v>
      </c>
      <c r="B39" s="408"/>
      <c r="C39" s="409"/>
      <c r="D39" s="409"/>
      <c r="E39" s="409"/>
      <c r="F39" s="409"/>
      <c r="G39" s="410"/>
      <c r="H39" s="78"/>
    </row>
    <row r="40" spans="1:8" x14ac:dyDescent="0.2">
      <c r="A40" s="78"/>
      <c r="B40" s="411"/>
      <c r="C40" s="412"/>
      <c r="D40" s="412"/>
      <c r="E40" s="412"/>
      <c r="F40" s="412"/>
      <c r="G40" s="413"/>
      <c r="H40" s="78"/>
    </row>
    <row r="41" spans="1:8" x14ac:dyDescent="0.2">
      <c r="A41" s="78"/>
      <c r="B41" s="411"/>
      <c r="C41" s="412"/>
      <c r="D41" s="412"/>
      <c r="E41" s="412"/>
      <c r="F41" s="412"/>
      <c r="G41" s="413"/>
      <c r="H41" s="78"/>
    </row>
    <row r="42" spans="1:8" x14ac:dyDescent="0.2">
      <c r="A42" s="78"/>
      <c r="B42" s="411"/>
      <c r="C42" s="412"/>
      <c r="D42" s="412"/>
      <c r="E42" s="412"/>
      <c r="F42" s="412"/>
      <c r="G42" s="413"/>
      <c r="H42" s="78"/>
    </row>
    <row r="43" spans="1:8" x14ac:dyDescent="0.2">
      <c r="A43" s="78"/>
      <c r="B43" s="411"/>
      <c r="C43" s="412"/>
      <c r="D43" s="412"/>
      <c r="E43" s="412"/>
      <c r="F43" s="412"/>
      <c r="G43" s="413"/>
      <c r="H43" s="78"/>
    </row>
    <row r="44" spans="1:8" x14ac:dyDescent="0.2">
      <c r="A44" s="78"/>
      <c r="B44" s="411"/>
      <c r="C44" s="412"/>
      <c r="D44" s="412"/>
      <c r="E44" s="412"/>
      <c r="F44" s="412"/>
      <c r="G44" s="413"/>
      <c r="H44" s="78"/>
    </row>
    <row r="45" spans="1:8" x14ac:dyDescent="0.2">
      <c r="A45" s="78"/>
      <c r="B45" s="411"/>
      <c r="C45" s="412"/>
      <c r="D45" s="412"/>
      <c r="E45" s="412"/>
      <c r="F45" s="412"/>
      <c r="G45" s="413"/>
      <c r="H45" s="78"/>
    </row>
    <row r="46" spans="1:8" ht="15" thickBot="1" x14ac:dyDescent="0.25">
      <c r="A46" s="78"/>
      <c r="B46" s="414"/>
      <c r="C46" s="415"/>
      <c r="D46" s="415"/>
      <c r="E46" s="415"/>
      <c r="F46" s="415"/>
      <c r="G46" s="416"/>
      <c r="H46" s="78"/>
    </row>
    <row r="47" spans="1:8" x14ac:dyDescent="0.2">
      <c r="A47" s="78"/>
      <c r="B47" s="78"/>
      <c r="C47" s="78"/>
      <c r="D47" s="91"/>
      <c r="E47" s="78"/>
      <c r="F47" s="91"/>
      <c r="G47" s="78"/>
      <c r="H47" s="78"/>
    </row>
    <row r="48" spans="1:8" x14ac:dyDescent="0.2">
      <c r="A48" s="78"/>
      <c r="B48" s="78"/>
      <c r="C48" s="78"/>
      <c r="D48" s="91"/>
      <c r="E48" s="78"/>
      <c r="F48" s="91"/>
      <c r="G48" s="78"/>
      <c r="H48" s="78"/>
    </row>
  </sheetData>
  <customSheetViews>
    <customSheetView guid="{4EE4166A-A743-EA44-9468-B79C8EBEBE02}" scale="170">
      <selection activeCell="B32" sqref="B32:E34"/>
      <pageMargins left="0.7" right="0.7" top="0.75" bottom="0.75" header="0.3" footer="0.3"/>
    </customSheetView>
  </customSheetViews>
  <mergeCells count="9">
    <mergeCell ref="A1:H1"/>
    <mergeCell ref="A2:H2"/>
    <mergeCell ref="B21:G28"/>
    <mergeCell ref="B30:G30"/>
    <mergeCell ref="B39:G46"/>
    <mergeCell ref="B5:G5"/>
    <mergeCell ref="B6:G6"/>
    <mergeCell ref="B9:G9"/>
    <mergeCell ref="B7:G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1D639-3EDD-144B-8BB5-B6E905802A04}">
  <sheetPr codeName="Sheet2"/>
  <dimension ref="A1:AL67"/>
  <sheetViews>
    <sheetView tabSelected="1" zoomScale="80" zoomScaleNormal="80" workbookViewId="0">
      <selection activeCell="D30" sqref="D30"/>
    </sheetView>
  </sheetViews>
  <sheetFormatPr baseColWidth="10" defaultColWidth="10.7109375" defaultRowHeight="14" x14ac:dyDescent="0.2"/>
  <cols>
    <col min="1" max="1" width="5.85546875" style="116" customWidth="1"/>
    <col min="2" max="2" width="10.7109375" style="148"/>
    <col min="3" max="3" width="2.28515625" style="148" hidden="1" customWidth="1"/>
    <col min="4" max="4" width="13.140625" style="146" customWidth="1"/>
    <col min="5" max="5" width="2.85546875" style="320" customWidth="1"/>
    <col min="6" max="6" width="33.5703125" style="314" customWidth="1"/>
    <col min="7" max="7" width="19.140625" style="116" customWidth="1"/>
    <col min="8" max="8" width="38" style="116" customWidth="1"/>
    <col min="9" max="10" width="5.85546875" style="320" customWidth="1"/>
    <col min="11" max="11" width="4.140625" style="199" customWidth="1"/>
    <col min="12" max="12" width="97.7109375" style="199" customWidth="1"/>
    <col min="13" max="13" width="4.5703125" style="199" customWidth="1"/>
    <col min="14" max="14" width="10.7109375" style="199"/>
    <col min="15" max="15" width="23.85546875" style="199" customWidth="1"/>
    <col min="16" max="19" width="10.7109375" style="199"/>
    <col min="20" max="38" width="10.7109375" style="115"/>
    <col min="39" max="16384" width="10.7109375" style="116"/>
  </cols>
  <sheetData>
    <row r="1" spans="1:38" x14ac:dyDescent="0.2">
      <c r="A1" s="97"/>
      <c r="B1" s="145"/>
      <c r="C1" s="145"/>
      <c r="D1" s="142"/>
      <c r="E1" s="230"/>
      <c r="F1" s="151"/>
      <c r="G1" s="97"/>
      <c r="H1" s="151" t="s">
        <v>306</v>
      </c>
      <c r="I1" s="230"/>
      <c r="J1" s="339"/>
      <c r="K1" s="159"/>
      <c r="L1" s="159"/>
      <c r="M1" s="159"/>
      <c r="N1" s="229"/>
      <c r="O1" s="229"/>
      <c r="P1" s="229"/>
      <c r="Q1" s="229"/>
      <c r="R1" s="229"/>
      <c r="S1" s="229"/>
      <c r="T1" s="113"/>
      <c r="U1" s="113"/>
      <c r="V1" s="113"/>
      <c r="W1" s="113"/>
      <c r="X1" s="113"/>
      <c r="Y1" s="113"/>
      <c r="Z1" s="113"/>
      <c r="AA1" s="113"/>
      <c r="AB1" s="114"/>
    </row>
    <row r="2" spans="1:38" ht="47" customHeight="1" x14ac:dyDescent="0.2">
      <c r="A2" s="230">
        <v>1</v>
      </c>
      <c r="B2" s="406" t="str">
        <f>INDEX(DataText,A2,VLOOKUP(Lang,LangSelect,2,FALSE))</f>
        <v>YH HJELP ver 1.0.3 (beta)</v>
      </c>
      <c r="C2" s="406"/>
      <c r="D2" s="406"/>
      <c r="E2" s="406"/>
      <c r="F2" s="406"/>
      <c r="G2" s="406"/>
      <c r="H2" s="203" t="s">
        <v>323</v>
      </c>
      <c r="I2" s="336" t="str">
        <f>Lang&amp;"CDM"</f>
        <v>NorskCDM</v>
      </c>
      <c r="J2" s="340"/>
      <c r="K2" s="337"/>
      <c r="L2" s="346" t="str">
        <f>INDEX(DataGuideText,1,VLOOKUP(Lang,LangSelect,2,FALSE))</f>
        <v>Veiledning i bruk av "YH HJELP"</v>
      </c>
      <c r="M2" s="337"/>
      <c r="N2" s="196"/>
      <c r="O2" s="196"/>
      <c r="P2" s="196"/>
      <c r="Q2" s="196"/>
      <c r="R2" s="196"/>
      <c r="S2" s="196"/>
      <c r="T2" s="117"/>
      <c r="U2" s="117"/>
      <c r="V2" s="117"/>
      <c r="W2" s="117"/>
      <c r="X2" s="117"/>
      <c r="Y2" s="117"/>
      <c r="Z2" s="117"/>
      <c r="AA2" s="117"/>
      <c r="AB2" s="118"/>
    </row>
    <row r="3" spans="1:38" ht="35" customHeight="1" x14ac:dyDescent="0.2">
      <c r="A3" s="230">
        <v>2</v>
      </c>
      <c r="B3" s="422" t="str">
        <f>INDEX(DataText,A3,VLOOKUP(Lang,LangSelect,2,FALSE))</f>
        <v xml:space="preserve">Dette regnearket er utarbeidet som hjelp til vurdering av yrkeshygieniske målinger. Regnearket er basert på arbeidstilsynets veiledning og EN 689. </v>
      </c>
      <c r="C3" s="422"/>
      <c r="D3" s="422"/>
      <c r="E3" s="422"/>
      <c r="F3" s="422"/>
      <c r="G3" s="422"/>
      <c r="H3" s="422"/>
      <c r="I3" s="324"/>
      <c r="J3" s="341"/>
      <c r="K3" s="338"/>
      <c r="L3" s="338"/>
      <c r="M3" s="338"/>
      <c r="N3" s="197"/>
      <c r="O3" s="197"/>
      <c r="P3" s="197"/>
      <c r="Q3" s="197"/>
      <c r="R3" s="197"/>
      <c r="S3" s="197"/>
      <c r="T3" s="119"/>
      <c r="U3" s="119"/>
      <c r="V3" s="119"/>
      <c r="W3" s="119"/>
      <c r="X3" s="119"/>
      <c r="Y3" s="119"/>
      <c r="Z3" s="119"/>
      <c r="AA3" s="119"/>
      <c r="AB3" s="114"/>
    </row>
    <row r="4" spans="1:38" s="123" customFormat="1" ht="31" customHeight="1" x14ac:dyDescent="0.2">
      <c r="A4" s="318">
        <v>3</v>
      </c>
      <c r="B4" s="422" t="str">
        <f>INDEX(DataText,A4,VLOOKUP(Lang,LangSelect,2,FALSE))</f>
        <v>Regnearket er utarbeidet av frivillige i NYF. NYF eller andre som har bidratt til utvikling av regnearket kan ikke gjøres ansvarlig for eventuelle feil i regnearket eller feil vurderinger som følge av bruk av dette regnearket. For spørsmål angående regnearket se www.nyf.no/fagrad</v>
      </c>
      <c r="C4" s="422"/>
      <c r="D4" s="422"/>
      <c r="E4" s="422"/>
      <c r="F4" s="422"/>
      <c r="G4" s="422"/>
      <c r="H4" s="422"/>
      <c r="I4" s="325"/>
      <c r="J4" s="342"/>
      <c r="K4" s="345"/>
      <c r="L4" s="418" t="str">
        <f>INDEX(DataGuideText,2,VLOOKUP(Lang,LangSelect,2,FALSE))</f>
        <v>Alle valg og innleggelse av måledata gjøres i fanen "DATA". Fanen "STAT" inneholder "Beskrivende statistikk", grafter og tester, som kan være nyttig i en faglig vurdering av måledatene.</v>
      </c>
      <c r="M4" s="345"/>
      <c r="N4" s="198"/>
      <c r="O4" s="198"/>
      <c r="P4" s="198"/>
      <c r="Q4" s="198"/>
      <c r="R4" s="198"/>
      <c r="S4" s="198"/>
      <c r="T4" s="120"/>
      <c r="U4" s="120"/>
      <c r="V4" s="120"/>
      <c r="W4" s="120"/>
      <c r="X4" s="120"/>
      <c r="Y4" s="120"/>
      <c r="Z4" s="120"/>
      <c r="AA4" s="120"/>
      <c r="AB4" s="121"/>
      <c r="AC4" s="122"/>
      <c r="AD4" s="122"/>
      <c r="AE4" s="122"/>
      <c r="AF4" s="122"/>
      <c r="AG4" s="122"/>
      <c r="AH4" s="122"/>
      <c r="AI4" s="122"/>
      <c r="AJ4" s="122"/>
      <c r="AK4" s="122"/>
      <c r="AL4" s="122"/>
    </row>
    <row r="5" spans="1:38" ht="19" customHeight="1" thickBot="1" x14ac:dyDescent="0.25">
      <c r="A5" s="318"/>
      <c r="B5" s="422"/>
      <c r="C5" s="422"/>
      <c r="D5" s="422"/>
      <c r="E5" s="422"/>
      <c r="F5" s="422"/>
      <c r="G5" s="422"/>
      <c r="H5" s="422"/>
      <c r="I5" s="153"/>
      <c r="J5" s="343"/>
      <c r="K5" s="111"/>
      <c r="L5" s="418"/>
      <c r="M5" s="111"/>
    </row>
    <row r="6" spans="1:38" ht="19" customHeight="1" thickBot="1" x14ac:dyDescent="0.25">
      <c r="A6" s="95">
        <v>4</v>
      </c>
      <c r="B6" s="147" t="str">
        <f>INDEX(DataText,A6,VLOOKUP(Lang,LangSelect,2,FALSE))</f>
        <v>Grenseverdi</v>
      </c>
      <c r="C6" s="147">
        <v>5</v>
      </c>
      <c r="D6" s="143" t="str">
        <f>INDEX(DataText,C6,VLOOKUP(Lang,LangSelect,2,FALSE))</f>
        <v>Kjemikalie</v>
      </c>
      <c r="E6" s="153">
        <v>6</v>
      </c>
      <c r="F6" s="124" t="str">
        <f>INDEX(DataText,E6,VLOOKUP(Lang,LangSelect,2,FALSE))</f>
        <v xml:space="preserve">SAMLET VURDERING (skriv inn): </v>
      </c>
      <c r="G6" s="125"/>
      <c r="H6" s="125"/>
      <c r="I6" s="230"/>
      <c r="J6" s="339"/>
      <c r="K6" s="111"/>
      <c r="L6" s="418" t="str">
        <f>INDEX(DataGuideText,3,VLOOKUP(Lang,LangSelect,2,FALSE))</f>
        <v xml:space="preserve">YH HJELP er to språklig (norsk og engelsk), støtter vurdering av måle data som er enten log-normal eller normal fordelte, samt fire ulike metoder for håndtering av måledata under deteksjonsgrensen. </v>
      </c>
      <c r="M6" s="111"/>
    </row>
    <row r="7" spans="1:38" ht="19" customHeight="1" thickBot="1" x14ac:dyDescent="0.25">
      <c r="A7" s="95"/>
      <c r="B7" s="141">
        <v>0.06</v>
      </c>
      <c r="C7" s="141"/>
      <c r="D7" s="144" t="s">
        <v>677</v>
      </c>
      <c r="E7" s="153"/>
      <c r="F7" s="427"/>
      <c r="G7" s="428"/>
      <c r="H7" s="428"/>
      <c r="I7" s="230"/>
      <c r="J7" s="339"/>
      <c r="K7" s="111"/>
      <c r="L7" s="418"/>
      <c r="M7" s="111"/>
    </row>
    <row r="8" spans="1:38" ht="19" customHeight="1" x14ac:dyDescent="0.2">
      <c r="A8" s="95"/>
      <c r="B8" s="202"/>
      <c r="C8" s="202"/>
      <c r="D8" s="202"/>
      <c r="E8" s="153"/>
      <c r="F8" s="429"/>
      <c r="G8" s="430"/>
      <c r="H8" s="430"/>
      <c r="I8" s="230"/>
      <c r="J8" s="339"/>
      <c r="K8" s="111"/>
      <c r="L8" s="418" t="str">
        <f>INDEX(DataGuideText,4,VLOOKUP(Lang,LangSelect,2,FALSE))</f>
        <v xml:space="preserve">Bruk av "YH HJELP" krever at du går via 7 steg. Disse er kort beskrevet nedenfor. For faglig veiledning henvises til Arbeidstilsynets og NYFs hjemmesider. De eneste feltene som kan skrives i / endres er de hvite feltene i fane "DATA". </v>
      </c>
      <c r="M8" s="111"/>
    </row>
    <row r="9" spans="1:38" ht="25" customHeight="1" x14ac:dyDescent="0.2">
      <c r="A9" s="95"/>
      <c r="B9" s="425" t="str">
        <f>INDEX(DataText,A11,VLOOKUP(Lang,LangSelect,2,FALSE))</f>
        <v xml:space="preserve">Måledata (normalisert i forhold til referansetid). </v>
      </c>
      <c r="C9" s="316"/>
      <c r="D9" s="426" t="str">
        <f>INDEX(DataText,C11,VLOOKUP(Lang,LangSelect,2,FALSE))</f>
        <v>Mindre enn DG (bruk &lt;)</v>
      </c>
      <c r="E9" s="153"/>
      <c r="F9" s="429"/>
      <c r="G9" s="430"/>
      <c r="H9" s="430"/>
      <c r="I9" s="230"/>
      <c r="J9" s="339"/>
      <c r="K9" s="111"/>
      <c r="L9" s="418"/>
      <c r="M9" s="111"/>
    </row>
    <row r="10" spans="1:38" ht="20" customHeight="1" x14ac:dyDescent="0.2">
      <c r="A10" s="95"/>
      <c r="B10" s="425"/>
      <c r="C10" s="316"/>
      <c r="D10" s="426"/>
      <c r="E10" s="153"/>
      <c r="F10" s="429"/>
      <c r="G10" s="430"/>
      <c r="H10" s="430"/>
      <c r="I10" s="230"/>
      <c r="J10" s="339"/>
      <c r="K10" s="111"/>
      <c r="L10" s="170" t="str">
        <f>INDEX(DataGuideText,5,VLOOKUP(Lang,LangSelect,2,FALSE))</f>
        <v>Steg 1: Velg spåk (fra nedtrekksliste).</v>
      </c>
      <c r="M10" s="111"/>
    </row>
    <row r="11" spans="1:38" ht="19" customHeight="1" x14ac:dyDescent="0.2">
      <c r="A11" s="95">
        <v>7</v>
      </c>
      <c r="B11" s="425"/>
      <c r="C11" s="316">
        <v>8</v>
      </c>
      <c r="D11" s="426"/>
      <c r="E11" s="153"/>
      <c r="F11" s="429"/>
      <c r="G11" s="430"/>
      <c r="H11" s="430"/>
      <c r="I11" s="230"/>
      <c r="J11" s="339"/>
      <c r="K11" s="111"/>
      <c r="L11" s="170" t="str">
        <f>INDEX(DataGuideText,6,VLOOKUP(Lang,LangSelect,2,FALSE))</f>
        <v>Steg 2: Angi grenseverdi (GV).</v>
      </c>
      <c r="M11" s="111"/>
    </row>
    <row r="12" spans="1:38" ht="19" customHeight="1" x14ac:dyDescent="0.2">
      <c r="A12" s="95"/>
      <c r="B12" s="425"/>
      <c r="C12" s="316"/>
      <c r="D12" s="426"/>
      <c r="E12" s="153"/>
      <c r="F12" s="429"/>
      <c r="G12" s="430"/>
      <c r="H12" s="430"/>
      <c r="I12" s="230"/>
      <c r="J12" s="339"/>
      <c r="K12" s="111"/>
      <c r="L12" s="170" t="str">
        <f>INDEX(DataGuideText,7,VLOOKUP(Lang,LangSelect,2,FALSE))</f>
        <v>Sted 3: Angi navn på kjemikalie.</v>
      </c>
      <c r="M12" s="111"/>
    </row>
    <row r="13" spans="1:38" ht="19" customHeight="1" x14ac:dyDescent="0.2">
      <c r="A13" s="315">
        <v>1</v>
      </c>
      <c r="B13" s="347">
        <v>3.0000000000000001E-3</v>
      </c>
      <c r="C13" s="348"/>
      <c r="D13" s="321"/>
      <c r="E13" s="319"/>
      <c r="F13" s="429"/>
      <c r="G13" s="430"/>
      <c r="H13" s="430"/>
      <c r="I13" s="230"/>
      <c r="J13" s="339"/>
      <c r="K13" s="111"/>
      <c r="L13" s="170" t="str">
        <f>INDEX(DataGuideText,8,VLOOKUP(Lang,LangSelect,2,FALSE))</f>
        <v>Steg 4: Legg inn måleverdier. Måleverdien må på forhånd være normalisert til referanseperioden valgt grenseverdi.</v>
      </c>
      <c r="M13" s="111"/>
    </row>
    <row r="14" spans="1:38" ht="19" customHeight="1" thickBot="1" x14ac:dyDescent="0.25">
      <c r="A14" s="315">
        <v>2</v>
      </c>
      <c r="B14" s="347">
        <v>1.6500000000000001E-2</v>
      </c>
      <c r="C14" s="348"/>
      <c r="D14" s="321"/>
      <c r="E14" s="319"/>
      <c r="F14" s="431"/>
      <c r="G14" s="432"/>
      <c r="H14" s="432"/>
      <c r="I14" s="230"/>
      <c r="J14" s="339"/>
      <c r="K14" s="111"/>
      <c r="L14" s="170" t="str">
        <f>INDEX(DataGuideText,9,VLOOKUP(Lang,LangSelect,2,FALSE))</f>
        <v>Steg 5: Hvis måleverdier under deteksjonsgrensen (DG) angi dette med "&lt;".</v>
      </c>
      <c r="M14" s="111"/>
    </row>
    <row r="15" spans="1:38" ht="18" customHeight="1" x14ac:dyDescent="0.2">
      <c r="A15" s="315">
        <v>3</v>
      </c>
      <c r="B15" s="347">
        <v>1.2999999999999999E-2</v>
      </c>
      <c r="C15" s="348"/>
      <c r="D15" s="321" t="s">
        <v>676</v>
      </c>
      <c r="E15" s="319"/>
      <c r="F15" s="108"/>
      <c r="G15" s="108"/>
      <c r="H15" s="108"/>
      <c r="I15" s="230"/>
      <c r="J15" s="339"/>
      <c r="K15" s="111"/>
      <c r="L15" s="418" t="str">
        <f>INDEX(DataGuideText,10,VLOOKUP(Lang,LangSelect,2,FALSE))</f>
        <v>Steg 6: Gå til fane "STAT", vurder om "YH HJELP"s vurdering av fordeling holder. Hvis ikke, korriger ved å velge enten "Log-normal" eller "Normal" (velg fra nedtrekksliste). Hvis verdier under deteksjonsgrensen, velg ønsket metode.</v>
      </c>
      <c r="M15" s="111"/>
    </row>
    <row r="16" spans="1:38" ht="16" customHeight="1" x14ac:dyDescent="0.2">
      <c r="A16" s="315">
        <v>4</v>
      </c>
      <c r="B16" s="347">
        <v>3.2000000000000002E-3</v>
      </c>
      <c r="C16" s="348"/>
      <c r="D16" s="321"/>
      <c r="E16" s="319"/>
      <c r="F16" s="153">
        <v>9</v>
      </c>
      <c r="G16" s="231" t="str">
        <f>INDEX(DataText,F16,VLOOKUP(Lang,LangSelect,2,FALSE))</f>
        <v>Valgt fordeling:</v>
      </c>
      <c r="H16" s="232" t="s">
        <v>321</v>
      </c>
      <c r="I16" s="230"/>
      <c r="J16" s="339"/>
      <c r="K16" s="111"/>
      <c r="L16" s="418"/>
      <c r="M16" s="111"/>
    </row>
    <row r="17" spans="1:13" x14ac:dyDescent="0.2">
      <c r="A17" s="315">
        <v>5</v>
      </c>
      <c r="B17" s="347">
        <v>4.7999999999999996E-3</v>
      </c>
      <c r="C17" s="348"/>
      <c r="D17" s="321"/>
      <c r="E17" s="319"/>
      <c r="F17" s="233"/>
      <c r="G17" s="234"/>
      <c r="H17" s="235"/>
      <c r="I17" s="326"/>
      <c r="J17" s="344"/>
      <c r="K17" s="111"/>
      <c r="L17" s="170" t="str">
        <f>INDEX(DataGuideText,11,VLOOKUP(Lang,LangSelect,2,FALSE))</f>
        <v>Steg 7: Foreta en samlet skriftlig faglig vurdering av måleresultatene.</v>
      </c>
      <c r="M17" s="111"/>
    </row>
    <row r="18" spans="1:13" ht="15" customHeight="1" x14ac:dyDescent="0.2">
      <c r="A18" s="315">
        <v>6</v>
      </c>
      <c r="B18" s="347">
        <v>3.1399999999999997E-2</v>
      </c>
      <c r="C18" s="348"/>
      <c r="D18" s="321"/>
      <c r="E18" s="319">
        <v>10</v>
      </c>
      <c r="F18" s="153">
        <v>44</v>
      </c>
      <c r="G18" s="433" t="str">
        <f>INDEX(DataText,F18,VLOOKUP(Lang,LangSelect,2,FALSE))</f>
        <v>Metode for håndtering av verdier under DG:</v>
      </c>
      <c r="H18" s="435" t="s">
        <v>472</v>
      </c>
      <c r="I18" s="230"/>
      <c r="J18" s="339"/>
      <c r="K18" s="111"/>
      <c r="L18" s="170"/>
      <c r="M18" s="111"/>
    </row>
    <row r="19" spans="1:13" ht="15" x14ac:dyDescent="0.2">
      <c r="A19" s="315">
        <v>7</v>
      </c>
      <c r="B19" s="347">
        <v>1.2999999999999999E-2</v>
      </c>
      <c r="C19" s="348"/>
      <c r="D19" s="321" t="s">
        <v>676</v>
      </c>
      <c r="E19" s="319">
        <v>11</v>
      </c>
      <c r="F19" s="245" t="str">
        <f>INDEX(DataText,E18,VLOOKUP(Lang,LangSelect,2,FALSE))</f>
        <v>Fra statistisk vurdering (STAT):</v>
      </c>
      <c r="G19" s="434"/>
      <c r="H19" s="436"/>
      <c r="I19" s="230"/>
      <c r="J19" s="339"/>
      <c r="K19" s="111"/>
      <c r="L19" s="111"/>
      <c r="M19" s="111"/>
    </row>
    <row r="20" spans="1:13" ht="14" customHeight="1" x14ac:dyDescent="0.2">
      <c r="A20" s="315">
        <v>8</v>
      </c>
      <c r="B20" s="347">
        <v>1.2999999999999999E-2</v>
      </c>
      <c r="C20" s="348"/>
      <c r="D20" s="321" t="s">
        <v>676</v>
      </c>
      <c r="E20" s="319">
        <v>12</v>
      </c>
      <c r="F20" s="126" t="str">
        <f>INDEX(DataText,E19,VLOOKUP(Lang,LangSelect,2,FALSE))</f>
        <v>Antall målinger - tre til fem:</v>
      </c>
      <c r="G20" s="257"/>
      <c r="H20" s="102"/>
      <c r="I20" s="230"/>
      <c r="J20" s="339"/>
      <c r="K20" s="111"/>
      <c r="L20" s="111"/>
      <c r="M20" s="111"/>
    </row>
    <row r="21" spans="1:13" x14ac:dyDescent="0.2">
      <c r="A21" s="315">
        <v>9</v>
      </c>
      <c r="B21" s="347">
        <v>3.4000000000000002E-2</v>
      </c>
      <c r="C21" s="348"/>
      <c r="D21" s="321"/>
      <c r="E21" s="319"/>
      <c r="F21" s="103" t="str">
        <f>INDEX(DataText,E20,VLOOKUP(Lang,LangSelect,2,FALSE))</f>
        <v>Beslutningskriterier jfr. NS-EN 689:</v>
      </c>
      <c r="G21" s="152" t="str">
        <f>INDEX(DataText,H21,VLOOKUP(Lang,LangSelect,2,FALSE))</f>
        <v>n=3: maks &lt; 10% av GV</v>
      </c>
      <c r="H21" s="401">
        <v>13</v>
      </c>
      <c r="I21" s="159"/>
      <c r="J21" s="339"/>
      <c r="K21" s="111"/>
      <c r="L21" s="111"/>
      <c r="M21" s="111"/>
    </row>
    <row r="22" spans="1:13" x14ac:dyDescent="0.2">
      <c r="A22" s="315">
        <v>10</v>
      </c>
      <c r="B22" s="347">
        <v>1.4E-2</v>
      </c>
      <c r="C22" s="348"/>
      <c r="D22" s="321" t="s">
        <v>676</v>
      </c>
      <c r="E22" s="319"/>
      <c r="F22" s="103"/>
      <c r="G22" s="152" t="str">
        <f>INDEX(DataText,H22,VLOOKUP(Lang,LangSelect,2,FALSE))</f>
        <v>n=4: maks &lt; 15% av GV</v>
      </c>
      <c r="H22" s="401">
        <v>14</v>
      </c>
      <c r="I22" s="159"/>
      <c r="J22" s="339"/>
      <c r="K22" s="111"/>
      <c r="L22" s="111"/>
      <c r="M22" s="111"/>
    </row>
    <row r="23" spans="1:13" x14ac:dyDescent="0.2">
      <c r="A23" s="315">
        <v>11</v>
      </c>
      <c r="B23" s="347">
        <v>1.9E-2</v>
      </c>
      <c r="C23" s="348"/>
      <c r="D23" s="321"/>
      <c r="E23" s="319"/>
      <c r="F23" s="103"/>
      <c r="G23" s="152" t="str">
        <f>INDEX(DataText,H23,VLOOKUP(Lang,LangSelect,2,FALSE))</f>
        <v>n=5: maks &lt; 20% av GV</v>
      </c>
      <c r="H23" s="401">
        <v>15</v>
      </c>
      <c r="I23" s="159"/>
      <c r="J23" s="339"/>
      <c r="K23" s="111"/>
      <c r="L23" s="111"/>
      <c r="M23" s="111"/>
    </row>
    <row r="24" spans="1:13" x14ac:dyDescent="0.2">
      <c r="A24" s="315">
        <v>12</v>
      </c>
      <c r="B24" s="347"/>
      <c r="C24" s="348"/>
      <c r="D24" s="321"/>
      <c r="E24" s="319">
        <v>16</v>
      </c>
      <c r="F24" s="103"/>
      <c r="G24" s="104"/>
      <c r="H24" s="106"/>
      <c r="I24" s="230"/>
      <c r="J24" s="339"/>
      <c r="K24" s="111"/>
      <c r="L24" s="111"/>
      <c r="M24" s="111"/>
    </row>
    <row r="25" spans="1:13" x14ac:dyDescent="0.2">
      <c r="A25" s="315">
        <v>13</v>
      </c>
      <c r="B25" s="347"/>
      <c r="C25" s="348"/>
      <c r="D25" s="321"/>
      <c r="E25" s="319">
        <v>17</v>
      </c>
      <c r="F25" s="103" t="str">
        <f>INDEX(DataText,E24,VLOOKUP(Lang,LangSelect,2,FALSE))</f>
        <v xml:space="preserve">Antall målinger: </v>
      </c>
      <c r="G25" s="106" t="str">
        <f>STAT!$AF$13</f>
        <v>n.a</v>
      </c>
      <c r="H25" s="106"/>
      <c r="I25" s="230"/>
      <c r="J25" s="339"/>
      <c r="K25" s="111"/>
      <c r="L25" s="111"/>
      <c r="M25" s="111"/>
    </row>
    <row r="26" spans="1:13" ht="17" customHeight="1" x14ac:dyDescent="0.2">
      <c r="A26" s="315">
        <v>14</v>
      </c>
      <c r="B26" s="347"/>
      <c r="C26" s="348"/>
      <c r="D26" s="321"/>
      <c r="E26" s="319">
        <v>18</v>
      </c>
      <c r="F26" s="103" t="str">
        <f>INDEX(DataText,E25,VLOOKUP(Lang,LangSelect,2,FALSE))</f>
        <v>Antall målinger under DG:</v>
      </c>
      <c r="G26" s="106" t="str">
        <f>STAT!$AF$14</f>
        <v>n.a</v>
      </c>
      <c r="H26" s="106"/>
      <c r="I26" s="230"/>
      <c r="J26" s="339"/>
      <c r="K26" s="111"/>
      <c r="L26" s="111"/>
      <c r="M26" s="111"/>
    </row>
    <row r="27" spans="1:13" ht="13" customHeight="1" x14ac:dyDescent="0.2">
      <c r="A27" s="315">
        <v>15</v>
      </c>
      <c r="B27" s="347"/>
      <c r="C27" s="348"/>
      <c r="D27" s="321"/>
      <c r="E27" s="319">
        <v>19</v>
      </c>
      <c r="F27" s="103" t="str">
        <f>INDEX(DataText,E26,VLOOKUP(Lang,LangSelect,2,FALSE))</f>
        <v>Høyeste målte verdi (Maks):</v>
      </c>
      <c r="G27" s="323" t="str">
        <f>STAT!$AF$15</f>
        <v>n.a</v>
      </c>
      <c r="H27" s="106"/>
      <c r="I27" s="230"/>
      <c r="J27" s="339"/>
      <c r="K27" s="111"/>
      <c r="L27" s="111"/>
      <c r="M27" s="111"/>
    </row>
    <row r="28" spans="1:13" x14ac:dyDescent="0.2">
      <c r="A28" s="315">
        <v>16</v>
      </c>
      <c r="B28" s="347"/>
      <c r="C28" s="348"/>
      <c r="D28" s="321"/>
      <c r="E28" s="319">
        <v>20</v>
      </c>
      <c r="F28" s="103" t="str">
        <f>INDEX(DataText,E27,VLOOKUP(Lang,LangSelect,2,FALSE))</f>
        <v>Median:</v>
      </c>
      <c r="G28" s="323" t="str">
        <f>IF(OR(N&gt;5,N&lt;3),"n.a",STAT!AB13)</f>
        <v>n.a</v>
      </c>
      <c r="H28" s="106"/>
      <c r="I28" s="230"/>
      <c r="J28" s="339"/>
      <c r="K28" s="111"/>
      <c r="L28" s="111"/>
      <c r="M28" s="111"/>
    </row>
    <row r="29" spans="1:13" x14ac:dyDescent="0.2">
      <c r="A29" s="315">
        <v>17</v>
      </c>
      <c r="B29" s="347"/>
      <c r="C29" s="348"/>
      <c r="D29" s="321"/>
      <c r="E29" s="319"/>
      <c r="F29" s="103" t="str">
        <f>INDEX(DataText,E28,VLOOKUP(Lang,LangSelect,2,FALSE))</f>
        <v xml:space="preserve">Veiledende konklusjon (fra STAT): </v>
      </c>
      <c r="G29" s="423" t="str">
        <f>STAT!$AF$16</f>
        <v>n.a</v>
      </c>
      <c r="H29" s="423"/>
      <c r="I29" s="230"/>
      <c r="J29" s="339"/>
      <c r="K29" s="111"/>
      <c r="L29" s="111"/>
      <c r="M29" s="111"/>
    </row>
    <row r="30" spans="1:13" ht="18" customHeight="1" x14ac:dyDescent="0.2">
      <c r="A30" s="315">
        <v>18</v>
      </c>
      <c r="B30" s="347"/>
      <c r="C30" s="348"/>
      <c r="D30" s="321"/>
      <c r="E30" s="319"/>
      <c r="F30" s="103"/>
      <c r="G30" s="423"/>
      <c r="H30" s="423"/>
      <c r="I30" s="230"/>
      <c r="J30" s="339"/>
      <c r="K30" s="111"/>
      <c r="L30" s="111"/>
      <c r="M30" s="111"/>
    </row>
    <row r="31" spans="1:13" ht="18" customHeight="1" x14ac:dyDescent="0.2">
      <c r="A31" s="315">
        <v>19</v>
      </c>
      <c r="B31" s="347"/>
      <c r="C31" s="348"/>
      <c r="D31" s="321"/>
      <c r="E31" s="319"/>
      <c r="F31" s="103"/>
      <c r="G31" s="424"/>
      <c r="H31" s="424"/>
      <c r="I31" s="230"/>
      <c r="J31" s="339"/>
      <c r="K31" s="111"/>
      <c r="L31" s="111"/>
      <c r="M31" s="111"/>
    </row>
    <row r="32" spans="1:13" ht="15" customHeight="1" x14ac:dyDescent="0.2">
      <c r="A32" s="315">
        <v>20</v>
      </c>
      <c r="B32" s="347"/>
      <c r="C32" s="348"/>
      <c r="D32" s="321"/>
      <c r="E32" s="319">
        <v>21</v>
      </c>
      <c r="F32" s="126" t="str">
        <f>INDEX(DataText,E32,VLOOKUP(Lang,LangSelect,2,FALSE))</f>
        <v>Antall målinger (seks eller flere):</v>
      </c>
      <c r="G32" s="107"/>
      <c r="H32" s="107"/>
      <c r="I32" s="230"/>
      <c r="J32" s="339"/>
      <c r="K32" s="111"/>
      <c r="L32" s="111"/>
      <c r="M32" s="111"/>
    </row>
    <row r="33" spans="1:13" ht="17" customHeight="1" x14ac:dyDescent="0.2">
      <c r="A33" s="315">
        <v>21</v>
      </c>
      <c r="B33" s="347"/>
      <c r="C33" s="348"/>
      <c r="D33" s="321"/>
      <c r="E33" s="319">
        <v>22</v>
      </c>
      <c r="F33" s="105" t="str">
        <f>F21</f>
        <v>Beslutningskriterier jfr. NS-EN 689:</v>
      </c>
      <c r="G33" s="420" t="str">
        <f>STAT!AF19</f>
        <v>Øvre 70% konfidensgrense til 95%til skal være under grenseverdien. Hvis n&lt;11 antas log-normalfordeling.</v>
      </c>
      <c r="H33" s="420"/>
      <c r="I33" s="230"/>
      <c r="J33" s="339"/>
      <c r="K33" s="111"/>
      <c r="L33" s="111"/>
      <c r="M33" s="111"/>
    </row>
    <row r="34" spans="1:13" ht="19" customHeight="1" x14ac:dyDescent="0.2">
      <c r="A34" s="315">
        <v>22</v>
      </c>
      <c r="B34" s="347"/>
      <c r="C34" s="348"/>
      <c r="D34" s="321"/>
      <c r="E34" s="319">
        <v>23</v>
      </c>
      <c r="F34" s="105"/>
      <c r="G34" s="421"/>
      <c r="H34" s="421"/>
      <c r="I34" s="230"/>
      <c r="J34" s="339"/>
      <c r="K34" s="111"/>
      <c r="L34" s="111"/>
      <c r="M34" s="111"/>
    </row>
    <row r="35" spans="1:13" ht="17" customHeight="1" x14ac:dyDescent="0.2">
      <c r="A35" s="315">
        <v>23</v>
      </c>
      <c r="B35" s="347"/>
      <c r="C35" s="348"/>
      <c r="D35" s="321"/>
      <c r="E35" s="319">
        <v>24</v>
      </c>
      <c r="F35" s="103" t="str">
        <f t="shared" ref="F35:F41" si="0">INDEX(DataText,E33,VLOOKUP(Lang,LangSelect,2,FALSE))</f>
        <v xml:space="preserve">Antall målinger (n): </v>
      </c>
      <c r="G35" s="106">
        <f>STAT!$AF$23</f>
        <v>11</v>
      </c>
      <c r="H35" s="106"/>
      <c r="I35" s="230"/>
      <c r="J35" s="339"/>
      <c r="K35" s="111"/>
      <c r="L35" s="111"/>
      <c r="M35" s="111"/>
    </row>
    <row r="36" spans="1:13" x14ac:dyDescent="0.2">
      <c r="A36" s="315">
        <v>24</v>
      </c>
      <c r="B36" s="347"/>
      <c r="C36" s="348"/>
      <c r="D36" s="321"/>
      <c r="E36" s="319">
        <v>25</v>
      </c>
      <c r="F36" s="103" t="str">
        <f t="shared" si="0"/>
        <v>Antall målinger under DG (m):</v>
      </c>
      <c r="G36" s="106">
        <f>STAT!$AF$24</f>
        <v>4</v>
      </c>
      <c r="H36" s="127"/>
      <c r="I36" s="230"/>
      <c r="J36" s="339"/>
      <c r="K36" s="111"/>
      <c r="L36" s="111"/>
      <c r="M36" s="111"/>
    </row>
    <row r="37" spans="1:13" ht="17" customHeight="1" x14ac:dyDescent="0.2">
      <c r="A37" s="315">
        <v>25</v>
      </c>
      <c r="B37" s="347"/>
      <c r="C37" s="348"/>
      <c r="D37" s="321"/>
      <c r="E37" s="319">
        <v>26</v>
      </c>
      <c r="F37" s="103" t="str">
        <f t="shared" si="0"/>
        <v>Antatt fordeling:</v>
      </c>
      <c r="G37" s="106" t="str">
        <f>IF(N&gt;5,IF(OR(H16="Fra STAT",H16="From STAT"),STAT!$AF$25,H16),"n.a")</f>
        <v>Normal</v>
      </c>
      <c r="H37" s="106"/>
      <c r="I37" s="230"/>
      <c r="J37" s="339"/>
      <c r="K37" s="111"/>
      <c r="L37" s="111"/>
      <c r="M37" s="111"/>
    </row>
    <row r="38" spans="1:13" x14ac:dyDescent="0.2">
      <c r="A38" s="315">
        <v>26</v>
      </c>
      <c r="B38" s="347"/>
      <c r="C38" s="348"/>
      <c r="D38" s="321"/>
      <c r="E38" s="319">
        <v>27</v>
      </c>
      <c r="F38" s="103" t="str">
        <f t="shared" si="0"/>
        <v>Høyeste målt verdi (Maks):</v>
      </c>
      <c r="G38" s="402" t="str">
        <f>IF(STAT!AB6&gt;5,IF(N-M=0,STAT!AB8,ROUND(STAT!AB8,2)&amp;INDEX(DataText,42,VLOOKUP(Lang,LangSelect,2,FALSE))&amp;ROUND(STAT!AB8*100/B7,0) &amp;"%)"),"n.a")</f>
        <v>0,03       (Andel av GV: 50%)</v>
      </c>
      <c r="H38" s="106"/>
      <c r="I38" s="230"/>
      <c r="J38" s="339"/>
      <c r="K38" s="111"/>
      <c r="L38" s="111"/>
      <c r="M38" s="111"/>
    </row>
    <row r="39" spans="1:13" x14ac:dyDescent="0.2">
      <c r="A39" s="315">
        <v>27</v>
      </c>
      <c r="B39" s="347"/>
      <c r="C39" s="348"/>
      <c r="D39" s="321"/>
      <c r="E39" s="319">
        <v>28</v>
      </c>
      <c r="F39" s="103" t="str">
        <f t="shared" si="0"/>
        <v>Estimert Aritmetisk middelverdi (AM):</v>
      </c>
      <c r="G39" s="134">
        <f>IF(OR(N&lt;6,STAT!AB10=0,k=0),"n.a",IF(OR(H16="Fra STAT",H16="From STAT"),IF(STAT!AH25="A4",ROUND(STAT!AB12,2),IF(STAT!AH25="A3",ROUND(STAT!AB31,2),INDEX(DataText,51,VLOOKUP(Lang,LangSelect,2,FALSE)))),IF(H16="Log-normal",ROUND(STAT!AB31,2),IF(H16="Normal",ROUND(STAT!AB38,2),INDEX(DataText,51,VLOOKUP(Lang,LangSelect,2,FALSE))))))</f>
        <v>0.02</v>
      </c>
      <c r="H39" s="106"/>
      <c r="I39" s="230"/>
      <c r="J39" s="339"/>
      <c r="K39" s="111"/>
      <c r="L39" s="111"/>
      <c r="M39" s="111"/>
    </row>
    <row r="40" spans="1:13" x14ac:dyDescent="0.2">
      <c r="A40" s="315">
        <v>28</v>
      </c>
      <c r="B40" s="347"/>
      <c r="C40" s="348"/>
      <c r="D40" s="321"/>
      <c r="E40" s="319"/>
      <c r="F40" s="103" t="str">
        <f t="shared" si="0"/>
        <v>Estimert øvre konsentrasjon (EØK 95%,70%):</v>
      </c>
      <c r="G40" s="134">
        <f>IF(OR(N&lt;6,STAT!AB10=0,k=0),"n.a",IF(OR(H16="Fra STAT",H16="From STAT"),IF(STAT!AH25="A4",ROUND(STAT!AB41,2),IF(STAT!AH25="A3",ROUND(STAT!AB34,2),INDEX(DataText,51,VLOOKUP(Lang,LangSelect,2,FALSE)))),IF(H16="Log-normal",ROUND(STAT!AB34,2),IF(H16="Normal",ROUND(STAT!AB41,2),INDEX(DataText,51,VLOOKUP(Lang,LangSelect,2,FALSE))))))</f>
        <v>0.03</v>
      </c>
      <c r="H40" s="106"/>
      <c r="I40" s="230"/>
      <c r="J40" s="339"/>
      <c r="K40" s="111"/>
      <c r="L40" s="111"/>
      <c r="M40" s="111"/>
    </row>
    <row r="41" spans="1:13" ht="15" customHeight="1" x14ac:dyDescent="0.2">
      <c r="A41" s="315">
        <v>29</v>
      </c>
      <c r="B41" s="347"/>
      <c r="C41" s="348"/>
      <c r="D41" s="321"/>
      <c r="E41" s="319">
        <v>29</v>
      </c>
      <c r="F41" s="103" t="str">
        <f t="shared" si="0"/>
        <v xml:space="preserve">Veiledende konklusjon (fra STAT): </v>
      </c>
      <c r="G41" s="423" t="str">
        <f>IF(N&gt;5,IF(OR(k=0,STAT!AB10=0),INDEX(DataText,51,VLOOKUP(Lang,LangSelect,2,FALSE)),IF(OR(H16="Fra STAT",H16="From STAT"),STAT!AF27,INDEX(DataText,43,VLOOKUP(Lang,LangSelect,2,FALSE)))),"n.a")</f>
        <v>Eksponeringen kan trolig ansees som akseptabel.</v>
      </c>
      <c r="H41" s="423"/>
      <c r="I41" s="230"/>
      <c r="J41" s="339"/>
      <c r="K41" s="111"/>
      <c r="L41" s="111"/>
      <c r="M41" s="111"/>
    </row>
    <row r="42" spans="1:13" x14ac:dyDescent="0.2">
      <c r="A42" s="315">
        <v>30</v>
      </c>
      <c r="B42" s="347"/>
      <c r="C42" s="348"/>
      <c r="D42" s="321"/>
      <c r="E42" s="95"/>
      <c r="F42" s="135"/>
      <c r="G42" s="423"/>
      <c r="H42" s="423"/>
      <c r="I42" s="230"/>
      <c r="J42" s="339"/>
      <c r="K42" s="111"/>
      <c r="L42" s="111"/>
      <c r="M42" s="111"/>
    </row>
    <row r="43" spans="1:13" x14ac:dyDescent="0.2">
      <c r="A43" s="315">
        <v>31</v>
      </c>
      <c r="B43" s="347"/>
      <c r="C43" s="348"/>
      <c r="D43" s="321"/>
      <c r="E43" s="95"/>
      <c r="F43" s="105"/>
      <c r="G43" s="424"/>
      <c r="H43" s="424"/>
      <c r="I43" s="230"/>
      <c r="J43" s="339"/>
      <c r="K43" s="111"/>
      <c r="L43" s="111"/>
      <c r="M43" s="111"/>
    </row>
    <row r="44" spans="1:13" ht="15" x14ac:dyDescent="0.2">
      <c r="A44" s="315">
        <v>32</v>
      </c>
      <c r="B44" s="347"/>
      <c r="C44" s="348"/>
      <c r="D44" s="321"/>
      <c r="E44" s="95"/>
      <c r="F44" s="126" t="str">
        <f>INDEX(DataText,E41,VLOOKUP(Lang,LangSelect,2,FALSE))</f>
        <v>Periodisk måling:</v>
      </c>
      <c r="G44" s="101"/>
      <c r="H44" s="101"/>
      <c r="I44" s="153"/>
      <c r="J44" s="343"/>
      <c r="K44" s="111"/>
      <c r="L44" s="111"/>
      <c r="M44" s="111"/>
    </row>
    <row r="45" spans="1:13" x14ac:dyDescent="0.2">
      <c r="A45" s="315">
        <v>33</v>
      </c>
      <c r="B45" s="347"/>
      <c r="C45" s="348"/>
      <c r="D45" s="321"/>
      <c r="E45" s="95"/>
      <c r="F45" s="105" t="str">
        <f>INDEX(DataText,E46,VLOOKUP(Lang,LangSelect,2,FALSE))</f>
        <v>Anbefalt ny kartlegging innen:</v>
      </c>
      <c r="G45" s="106" t="str">
        <f>IF(N=0,"",IF(N-M&lt;3,INDEX(DataText,51,VLOOKUP(Lang,LangSelect,2,FALSE)),IF(OR(H16="Fra STAT",H16="From STAT"),IF(OR(STAT!AB6&lt;3,STAT!AH25="A2",STAT!AH25="K1"),INDEX(DataText,51,VLOOKUP(Lang,LangSelect,2,FALSE)),STAT!AR39),INDEX(DataText,43,VLOOKUP(Lang,LangSelect,2,FALSE)))))</f>
        <v>12(24) mnd</v>
      </c>
      <c r="H45" s="106"/>
      <c r="I45" s="153"/>
      <c r="J45" s="343"/>
      <c r="K45" s="111"/>
      <c r="L45" s="111"/>
      <c r="M45" s="111"/>
    </row>
    <row r="46" spans="1:13" x14ac:dyDescent="0.2">
      <c r="A46" s="315">
        <v>34</v>
      </c>
      <c r="B46" s="347"/>
      <c r="C46" s="348"/>
      <c r="D46" s="321"/>
      <c r="E46" s="319">
        <v>30</v>
      </c>
      <c r="F46" s="105"/>
      <c r="G46" s="106"/>
      <c r="H46" s="106"/>
      <c r="I46" s="153"/>
      <c r="J46" s="343"/>
      <c r="K46" s="111"/>
      <c r="L46" s="111"/>
      <c r="M46" s="111"/>
    </row>
    <row r="47" spans="1:13" ht="17" customHeight="1" x14ac:dyDescent="0.2">
      <c r="A47" s="315">
        <v>35</v>
      </c>
      <c r="B47" s="347"/>
      <c r="C47" s="348"/>
      <c r="D47" s="321"/>
      <c r="E47" s="319"/>
      <c r="F47" s="108"/>
      <c r="G47" s="108"/>
      <c r="H47" s="108"/>
      <c r="I47" s="153"/>
      <c r="J47" s="343"/>
      <c r="K47" s="111"/>
      <c r="L47" s="111"/>
      <c r="M47" s="111"/>
    </row>
    <row r="48" spans="1:13" ht="17" customHeight="1" x14ac:dyDescent="0.2">
      <c r="A48" s="315">
        <v>36</v>
      </c>
      <c r="B48" s="347"/>
      <c r="C48" s="348"/>
      <c r="D48" s="321"/>
      <c r="E48" s="319"/>
      <c r="F48" s="108"/>
      <c r="G48" s="108"/>
      <c r="H48" s="108"/>
      <c r="I48" s="153"/>
      <c r="J48" s="343"/>
      <c r="K48" s="111"/>
      <c r="L48" s="111"/>
      <c r="M48" s="111"/>
    </row>
    <row r="49" spans="1:13" ht="17" customHeight="1" x14ac:dyDescent="0.2">
      <c r="A49" s="315">
        <v>37</v>
      </c>
      <c r="B49" s="347"/>
      <c r="C49" s="348"/>
      <c r="D49" s="321"/>
      <c r="E49" s="319">
        <v>31</v>
      </c>
      <c r="F49" s="133" t="str">
        <f>INDEX(DataText,E49,VLOOKUP(Lang,LangSelect,2,FALSE))</f>
        <v>Anvendte regler for håndtering av verdier under deteksjonsgrensen (DG):</v>
      </c>
      <c r="G49" s="128"/>
      <c r="H49" s="128"/>
      <c r="I49" s="153"/>
      <c r="J49" s="343"/>
      <c r="K49" s="111"/>
      <c r="L49" s="111"/>
      <c r="M49" s="111"/>
    </row>
    <row r="50" spans="1:13" ht="14" customHeight="1" x14ac:dyDescent="0.2">
      <c r="A50" s="315">
        <v>38</v>
      </c>
      <c r="B50" s="347"/>
      <c r="C50" s="348"/>
      <c r="D50" s="321"/>
      <c r="E50" s="319"/>
      <c r="F50" s="128"/>
      <c r="G50" s="128"/>
      <c r="H50" s="128"/>
      <c r="I50" s="153"/>
      <c r="J50" s="343"/>
      <c r="K50" s="111"/>
      <c r="L50" s="111"/>
      <c r="M50" s="111"/>
    </row>
    <row r="51" spans="1:13" x14ac:dyDescent="0.2">
      <c r="A51" s="315">
        <v>39</v>
      </c>
      <c r="B51" s="347"/>
      <c r="C51" s="348"/>
      <c r="D51" s="321"/>
      <c r="E51" s="319">
        <v>32</v>
      </c>
      <c r="F51" s="128" t="str">
        <f>INDEX(DataText,E51,VLOOKUP(Lang,LangSelect,2,FALSE))</f>
        <v xml:space="preserve">For antall målinger mindre enn deteksjonsgrensen (k): </v>
      </c>
      <c r="G51" s="128"/>
      <c r="H51" s="128"/>
      <c r="I51" s="153"/>
      <c r="J51" s="343"/>
      <c r="K51" s="111"/>
      <c r="L51" s="111"/>
      <c r="M51" s="111"/>
    </row>
    <row r="52" spans="1:13" x14ac:dyDescent="0.2">
      <c r="A52" s="315">
        <v>40</v>
      </c>
      <c r="B52" s="347"/>
      <c r="C52" s="348"/>
      <c r="D52" s="321"/>
      <c r="E52" s="319">
        <v>33</v>
      </c>
      <c r="F52" s="128" t="str">
        <f>INDEX(DataText,E52,VLOOKUP(Lang,LangSelect,2,FALSE))</f>
        <v>- n&lt;3, k&lt;=2: Deteksjonsgrensen (DG) benyttes.</v>
      </c>
      <c r="G52" s="128"/>
      <c r="H52" s="128"/>
      <c r="I52" s="153"/>
      <c r="J52" s="343"/>
      <c r="K52" s="111"/>
      <c r="L52" s="111"/>
      <c r="M52" s="111"/>
    </row>
    <row r="53" spans="1:13" x14ac:dyDescent="0.2">
      <c r="A53" s="315">
        <v>41</v>
      </c>
      <c r="B53" s="347"/>
      <c r="C53" s="348"/>
      <c r="D53" s="321"/>
      <c r="E53" s="319">
        <v>34</v>
      </c>
      <c r="F53" s="128" t="str">
        <f>INDEX(DataText,E53,VLOOKUP(Lang,LangSelect,2,FALSE))</f>
        <v>- n&gt;=3, k&gt;2: Beta metoden benyttes (ref Ganser and Hewett 2010)</v>
      </c>
      <c r="G53" s="128"/>
      <c r="H53" s="128"/>
      <c r="I53" s="153"/>
      <c r="J53" s="343"/>
      <c r="K53" s="111"/>
      <c r="L53" s="111"/>
      <c r="M53" s="111"/>
    </row>
    <row r="54" spans="1:13" x14ac:dyDescent="0.2">
      <c r="A54" s="315">
        <v>42</v>
      </c>
      <c r="B54" s="347"/>
      <c r="C54" s="348"/>
      <c r="D54" s="321"/>
      <c r="E54" s="319"/>
      <c r="F54" s="128"/>
      <c r="G54" s="128"/>
      <c r="H54" s="128"/>
      <c r="I54" s="153"/>
      <c r="J54" s="343"/>
      <c r="K54" s="111"/>
      <c r="L54" s="111"/>
      <c r="M54" s="111"/>
    </row>
    <row r="55" spans="1:13" x14ac:dyDescent="0.2">
      <c r="A55" s="315">
        <v>43</v>
      </c>
      <c r="B55" s="347"/>
      <c r="C55" s="348"/>
      <c r="D55" s="321"/>
      <c r="E55" s="319">
        <v>35</v>
      </c>
      <c r="F55" s="128" t="str">
        <f>INDEX(DataText,E55,VLOOKUP(Lang,LangSelect,2,FALSE))</f>
        <v>Kommentar:</v>
      </c>
      <c r="G55" s="109"/>
      <c r="H55" s="109"/>
      <c r="I55" s="153"/>
      <c r="J55" s="343"/>
      <c r="K55" s="111"/>
      <c r="L55" s="111"/>
      <c r="M55" s="111"/>
    </row>
    <row r="56" spans="1:13" x14ac:dyDescent="0.2">
      <c r="A56" s="315">
        <v>44</v>
      </c>
      <c r="B56" s="347"/>
      <c r="C56" s="348"/>
      <c r="D56" s="321"/>
      <c r="E56" s="319">
        <v>36</v>
      </c>
      <c r="F56" s="419" t="str">
        <f>INDEX(DataText,E56,VLOOKUP(Lang,LangSelect,2,FALSE))</f>
        <v>- Hvis andel under DG er mindre enn 10% betyr valg av metode lite for vurdering av AM, men kan ha stor betydning for vurdering av EØK. Måledata (x) kan ikke være "0" (null).</v>
      </c>
      <c r="G56" s="419"/>
      <c r="H56" s="419"/>
      <c r="I56" s="153"/>
      <c r="J56" s="343"/>
      <c r="K56" s="111"/>
      <c r="L56" s="111"/>
      <c r="M56" s="111"/>
    </row>
    <row r="57" spans="1:13" x14ac:dyDescent="0.2">
      <c r="A57" s="315">
        <v>45</v>
      </c>
      <c r="B57" s="347"/>
      <c r="C57" s="348"/>
      <c r="D57" s="321"/>
      <c r="E57" s="319"/>
      <c r="F57" s="419"/>
      <c r="G57" s="419"/>
      <c r="H57" s="419"/>
      <c r="I57" s="153"/>
      <c r="J57" s="343"/>
      <c r="K57" s="111"/>
      <c r="L57" s="111"/>
      <c r="M57" s="111"/>
    </row>
    <row r="58" spans="1:13" x14ac:dyDescent="0.2">
      <c r="A58" s="315">
        <v>46</v>
      </c>
      <c r="B58" s="347"/>
      <c r="C58" s="348"/>
      <c r="D58" s="321"/>
      <c r="E58" s="95"/>
      <c r="F58" s="419"/>
      <c r="G58" s="419"/>
      <c r="H58" s="419"/>
      <c r="I58" s="153"/>
      <c r="J58" s="343"/>
      <c r="K58" s="111"/>
      <c r="L58" s="111"/>
      <c r="M58" s="111"/>
    </row>
    <row r="59" spans="1:13" x14ac:dyDescent="0.2">
      <c r="A59" s="315">
        <v>47</v>
      </c>
      <c r="B59" s="347"/>
      <c r="C59" s="348"/>
      <c r="D59" s="321"/>
      <c r="E59" s="319">
        <v>37</v>
      </c>
      <c r="F59" s="419" t="str">
        <f>INDEX(DataText,E59,VLOOKUP(Lang,LangSelect,2,FALSE))</f>
        <v>- Usikkerheten i vurderingen vil være høy ved få målinger, stort avvik fra enten log-normal eller normal fordeling, eller ved høy andel målinger under deteksjonsgrensen.</v>
      </c>
      <c r="G59" s="419"/>
      <c r="H59" s="419"/>
      <c r="I59" s="153"/>
      <c r="J59" s="343"/>
      <c r="K59" s="111"/>
      <c r="L59" s="111"/>
      <c r="M59" s="111"/>
    </row>
    <row r="60" spans="1:13" x14ac:dyDescent="0.2">
      <c r="A60" s="315">
        <v>48</v>
      </c>
      <c r="B60" s="347"/>
      <c r="C60" s="348"/>
      <c r="D60" s="321"/>
      <c r="E60" s="319"/>
      <c r="F60" s="419"/>
      <c r="G60" s="419"/>
      <c r="H60" s="419"/>
      <c r="I60" s="153"/>
      <c r="J60" s="343"/>
      <c r="K60" s="111"/>
      <c r="L60" s="111"/>
      <c r="M60" s="111"/>
    </row>
    <row r="61" spans="1:13" x14ac:dyDescent="0.2">
      <c r="A61" s="315">
        <v>49</v>
      </c>
      <c r="B61" s="347"/>
      <c r="C61" s="348"/>
      <c r="D61" s="321"/>
      <c r="E61" s="319"/>
      <c r="F61" s="108"/>
      <c r="G61" s="108"/>
      <c r="H61" s="108"/>
      <c r="I61" s="153"/>
      <c r="J61" s="343"/>
      <c r="K61" s="111"/>
      <c r="L61" s="111"/>
      <c r="M61" s="111"/>
    </row>
    <row r="62" spans="1:13" x14ac:dyDescent="0.2">
      <c r="A62" s="315">
        <v>50</v>
      </c>
      <c r="B62" s="347"/>
      <c r="C62" s="348"/>
      <c r="D62" s="321"/>
      <c r="E62" s="319"/>
      <c r="F62" s="108"/>
      <c r="G62" s="108"/>
      <c r="H62" s="108"/>
      <c r="I62" s="153"/>
      <c r="J62" s="343"/>
      <c r="K62" s="111"/>
      <c r="L62" s="111"/>
      <c r="M62" s="111"/>
    </row>
    <row r="63" spans="1:13" x14ac:dyDescent="0.2">
      <c r="A63" s="108"/>
      <c r="B63" s="140"/>
      <c r="C63" s="149"/>
      <c r="D63" s="139"/>
      <c r="E63" s="153"/>
      <c r="F63" s="108"/>
      <c r="G63" s="108"/>
      <c r="H63" s="108"/>
      <c r="I63" s="153"/>
      <c r="J63" s="343"/>
      <c r="K63" s="111"/>
      <c r="L63" s="111"/>
      <c r="M63" s="111"/>
    </row>
    <row r="64" spans="1:13" x14ac:dyDescent="0.2">
      <c r="A64" s="96"/>
      <c r="B64" s="145"/>
      <c r="C64" s="145"/>
      <c r="D64" s="145"/>
      <c r="E64" s="153"/>
      <c r="F64" s="108"/>
      <c r="G64" s="108"/>
      <c r="H64" s="108"/>
      <c r="I64" s="153"/>
      <c r="J64" s="343"/>
      <c r="K64" s="111"/>
      <c r="L64" s="111"/>
      <c r="M64" s="111"/>
    </row>
    <row r="65" spans="6:10" x14ac:dyDescent="0.2">
      <c r="F65" s="199"/>
      <c r="G65" s="199"/>
      <c r="H65" s="199"/>
      <c r="I65" s="327"/>
      <c r="J65" s="327"/>
    </row>
    <row r="66" spans="6:10" x14ac:dyDescent="0.2">
      <c r="F66" s="206"/>
      <c r="G66" s="206"/>
      <c r="H66" s="206"/>
      <c r="I66" s="327"/>
      <c r="J66" s="327"/>
    </row>
    <row r="67" spans="6:10" x14ac:dyDescent="0.2">
      <c r="F67" s="206"/>
      <c r="G67" s="206"/>
      <c r="H67" s="206"/>
    </row>
  </sheetData>
  <sheetProtection algorithmName="SHA-512" hashValue="3xk/od0kanikL1utG09kMtxvS9l2OFTqMScb60Dwzn9a0EqbcM3b0xW0BhU/hKucm9FkSIln7r5zcZoK2g9cPw==" saltValue="TVy+oMWc+q6CTxfppJ4Ngw==" spinCount="100000" sheet="1" selectLockedCells="1"/>
  <customSheetViews>
    <customSheetView guid="{4EE4166A-A743-EA44-9468-B79C8EBEBE02}" printArea="1" view="pageLayout">
      <selection activeCell="A47" sqref="A47"/>
      <pageMargins left="0.7" right="0.7" top="0.52" bottom="0.75" header="0.3" footer="0.3"/>
      <pageSetup paperSize="9" scale="52" orientation="portrait" horizontalDpi="0" verticalDpi="0"/>
      <headerFooter>
        <oddHeader xml:space="preserve">&amp;CYH HJELP - Verktøy for hjelp til vurdering av yrkeshygieniske målinger </oddHeader>
      </headerFooter>
    </customSheetView>
  </customSheetViews>
  <mergeCells count="18">
    <mergeCell ref="F59:H60"/>
    <mergeCell ref="B2:G2"/>
    <mergeCell ref="G33:H34"/>
    <mergeCell ref="B3:H3"/>
    <mergeCell ref="G41:H43"/>
    <mergeCell ref="B5:H5"/>
    <mergeCell ref="B4:H4"/>
    <mergeCell ref="B9:B12"/>
    <mergeCell ref="G29:H31"/>
    <mergeCell ref="D9:D12"/>
    <mergeCell ref="F7:H14"/>
    <mergeCell ref="G18:G19"/>
    <mergeCell ref="H18:H19"/>
    <mergeCell ref="L4:L5"/>
    <mergeCell ref="L6:L7"/>
    <mergeCell ref="L8:L9"/>
    <mergeCell ref="L15:L16"/>
    <mergeCell ref="F56:H58"/>
  </mergeCells>
  <conditionalFormatting sqref="C13:C62">
    <cfRule type="cellIs" dxfId="1" priority="11" operator="between">
      <formula>-1</formula>
      <formula>1000000</formula>
    </cfRule>
  </conditionalFormatting>
  <conditionalFormatting sqref="D13:D62">
    <cfRule type="expression" dxfId="0" priority="10">
      <formula>$A$13:$A$62 &lt; 51</formula>
    </cfRule>
  </conditionalFormatting>
  <dataValidations count="5">
    <dataValidation type="decimal" allowBlank="1" showInputMessage="1" showErrorMessage="1" promptTitle="Legg inn måleverdier" prompt="Legg kun inn tall." sqref="C13:C62" xr:uid="{FDFA7D9E-B117-894F-B8B9-4448AE81E5E7}">
      <formula1>0</formula1>
      <formula2>100000</formula2>
    </dataValidation>
    <dataValidation type="list" allowBlank="1" showInputMessage="1" showErrorMessage="1" sqref="H16:H17" xr:uid="{58643B72-3C3C-644F-9B5B-988898A5C8C5}">
      <formula1>INDIRECT(H2)</formula1>
    </dataValidation>
    <dataValidation type="list" allowBlank="1" showInputMessage="1" showErrorMessage="1" sqref="H18:H19" xr:uid="{B55FFDC1-F8CE-BA4C-AE90-54EF725357E9}">
      <formula1>INDIRECT(I2)</formula1>
    </dataValidation>
    <dataValidation type="textLength" operator="equal" allowBlank="1" showInputMessage="1" showErrorMessage="1" sqref="D13:D62" xr:uid="{004E40A3-45DD-A743-892F-8911D9DB6304}">
      <formula1>1</formula1>
    </dataValidation>
    <dataValidation type="decimal" operator="greaterThan" allowBlank="1" showInputMessage="1" showErrorMessage="1" sqref="B13:B62" xr:uid="{4A6EE453-7AB2-8444-97F5-930F9D94A741}">
      <formula1>0</formula1>
    </dataValidation>
  </dataValidations>
  <pageMargins left="0.7" right="0.7" top="0.52" bottom="0.75" header="0.3" footer="0.3"/>
  <pageSetup paperSize="9" scale="52" orientation="portrait" horizontalDpi="0" verticalDpi="0"/>
  <headerFooter>
    <oddHeader xml:space="preserve">&amp;CYH HJELP - Verktøy for hjelp til vurdering av yrkeshygieniske målinger </oddHeader>
  </headerFooter>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9652F8B-C43A-714B-9BDC-17DD6BCA0B6D}">
          <x14:formula1>
            <xm:f>Lan!$A$2:$A$3</xm:f>
          </x14:formula1>
          <xm:sqref>H2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BF555"/>
  <sheetViews>
    <sheetView topLeftCell="A2" zoomScale="60" zoomScaleNormal="60" workbookViewId="0">
      <selection activeCell="D12" sqref="D12:D61"/>
    </sheetView>
  </sheetViews>
  <sheetFormatPr baseColWidth="10" defaultColWidth="11.42578125" defaultRowHeight="14" x14ac:dyDescent="0.2"/>
  <cols>
    <col min="1" max="1" width="4.5703125" style="1" customWidth="1"/>
    <col min="2" max="2" width="13.5703125" style="190" customWidth="1"/>
    <col min="3" max="3" width="7" style="190" customWidth="1"/>
    <col min="4" max="4" width="11.42578125" style="190" customWidth="1"/>
    <col min="5" max="5" width="6" style="1" customWidth="1"/>
    <col min="6" max="20" width="9.5703125" style="191" hidden="1" customWidth="1"/>
    <col min="21" max="21" width="13.5703125" style="191" hidden="1" customWidth="1"/>
    <col min="22" max="24" width="9.5703125" style="210" hidden="1" customWidth="1"/>
    <col min="25" max="25" width="9.5703125" style="191" hidden="1" customWidth="1"/>
    <col min="26" max="26" width="9.5703125" style="190" hidden="1" customWidth="1"/>
    <col min="27" max="27" width="42.140625" style="158" customWidth="1"/>
    <col min="28" max="28" width="9.85546875" style="189" customWidth="1"/>
    <col min="29" max="29" width="5.85546875" style="322" customWidth="1"/>
    <col min="30" max="30" width="11.42578125" style="112" customWidth="1"/>
    <col min="31" max="31" width="25.85546875" style="112" customWidth="1"/>
    <col min="32" max="32" width="18.42578125" style="112" customWidth="1"/>
    <col min="33" max="33" width="11.28515625" style="112" customWidth="1"/>
    <col min="34" max="34" width="7.28515625" style="112" customWidth="1"/>
    <col min="35" max="35" width="5.85546875" style="322" customWidth="1"/>
    <col min="36" max="36" width="11.28515625" style="112" customWidth="1"/>
    <col min="37" max="37" width="10" style="112" customWidth="1"/>
    <col min="38" max="38" width="14.5703125" style="112" customWidth="1"/>
    <col min="39" max="39" width="11.28515625" style="112" customWidth="1"/>
    <col min="40" max="40" width="16" style="112" customWidth="1"/>
    <col min="41" max="41" width="6.5703125" style="112" customWidth="1"/>
    <col min="42" max="44" width="11.42578125" style="9"/>
    <col min="45" max="45" width="18.5703125" style="9" customWidth="1"/>
    <col min="46" max="46" width="4.7109375" style="9" customWidth="1"/>
    <col min="47" max="47" width="0" style="9" hidden="1" customWidth="1"/>
    <col min="48" max="48" width="0" style="192" hidden="1" customWidth="1"/>
    <col min="49" max="58" width="0" style="112" hidden="1" customWidth="1"/>
    <col min="59" max="16384" width="11.42578125" style="112"/>
  </cols>
  <sheetData>
    <row r="1" spans="1:58" x14ac:dyDescent="0.2">
      <c r="A1" s="313"/>
      <c r="B1" s="110"/>
      <c r="C1" s="110"/>
      <c r="D1" s="110"/>
      <c r="E1" s="313"/>
      <c r="F1" s="159"/>
      <c r="G1" s="159"/>
      <c r="H1" s="293"/>
      <c r="I1" s="159"/>
      <c r="J1" s="159"/>
      <c r="K1" s="159"/>
      <c r="L1" s="159"/>
      <c r="M1" s="159"/>
      <c r="N1" s="159"/>
      <c r="O1" s="159"/>
      <c r="P1" s="159"/>
      <c r="Q1" s="213" t="s">
        <v>453</v>
      </c>
      <c r="R1" s="159"/>
      <c r="S1" s="159"/>
      <c r="T1" s="213" t="s">
        <v>452</v>
      </c>
      <c r="U1" s="214" t="s">
        <v>447</v>
      </c>
      <c r="V1" s="215"/>
      <c r="W1" s="215" t="s">
        <v>451</v>
      </c>
      <c r="X1" s="215"/>
      <c r="Y1" s="159"/>
      <c r="Z1" s="110"/>
      <c r="AA1" s="132"/>
      <c r="AB1" s="136"/>
      <c r="AC1" s="95"/>
      <c r="AD1" s="111"/>
      <c r="AE1" s="111"/>
      <c r="AF1" s="111"/>
      <c r="AG1" s="111"/>
      <c r="AH1" s="111"/>
      <c r="AI1" s="95"/>
      <c r="AJ1" s="111"/>
      <c r="AK1" s="111"/>
      <c r="AL1" s="111"/>
      <c r="AM1" s="111"/>
      <c r="AN1" s="111"/>
      <c r="AO1" s="111"/>
      <c r="AP1" s="111"/>
      <c r="AQ1" s="111"/>
      <c r="AR1" s="111"/>
      <c r="AS1" s="111"/>
      <c r="AT1" s="160"/>
    </row>
    <row r="2" spans="1:58" ht="38" customHeight="1" x14ac:dyDescent="0.4">
      <c r="A2" s="95">
        <v>1</v>
      </c>
      <c r="B2" s="161"/>
      <c r="C2" s="161"/>
      <c r="D2" s="161"/>
      <c r="E2" s="349"/>
      <c r="F2" s="161"/>
      <c r="G2" s="161"/>
      <c r="H2" s="294"/>
      <c r="I2" s="161"/>
      <c r="J2" s="161"/>
      <c r="K2" s="161"/>
      <c r="L2" s="161"/>
      <c r="M2" s="161"/>
      <c r="N2" s="161"/>
      <c r="O2" s="161"/>
      <c r="P2" s="162" t="s">
        <v>454</v>
      </c>
      <c r="Q2" s="216">
        <f>VLOOKUP(IF(k&lt;3,1,IF(N&gt;10,4,IF(AND(AH25="A4",N&gt;=10),6,5))),CDAmethod,IF(AH25="A4",3,4))</f>
        <v>6</v>
      </c>
      <c r="R2" s="161"/>
      <c r="S2" s="161"/>
      <c r="T2" s="216">
        <v>0</v>
      </c>
      <c r="U2" s="216" t="s">
        <v>537</v>
      </c>
      <c r="V2" s="217"/>
      <c r="W2" s="216">
        <f>Q2</f>
        <v>6</v>
      </c>
      <c r="X2" s="217"/>
      <c r="Y2" s="161"/>
      <c r="Z2" s="161"/>
      <c r="AA2" s="448" t="str">
        <f>INDEX(StatText,A2,VLOOKUP(Lang,LangSelect,2,FALSE))</f>
        <v>YH HJELP ver 1.0.3 (beta)</v>
      </c>
      <c r="AB2" s="448"/>
      <c r="AC2" s="448"/>
      <c r="AD2" s="448"/>
      <c r="AE2" s="448"/>
      <c r="AF2" s="448"/>
      <c r="AG2" s="448"/>
      <c r="AH2" s="448"/>
      <c r="AI2" s="448"/>
      <c r="AJ2" s="448"/>
      <c r="AK2" s="448"/>
      <c r="AL2" s="448"/>
      <c r="AM2" s="448"/>
      <c r="AN2" s="448"/>
      <c r="AO2" s="448"/>
      <c r="AP2" s="448"/>
      <c r="AQ2" s="448"/>
      <c r="AR2" s="448"/>
      <c r="AS2" s="448"/>
      <c r="AT2" s="160"/>
      <c r="AX2" s="112" t="s">
        <v>530</v>
      </c>
      <c r="BA2" s="112" t="s">
        <v>531</v>
      </c>
      <c r="BB2" s="9">
        <f>AB6-AB7</f>
        <v>7</v>
      </c>
    </row>
    <row r="3" spans="1:58" ht="33" customHeight="1" x14ac:dyDescent="0.2">
      <c r="A3" s="95">
        <v>2</v>
      </c>
      <c r="B3" s="162"/>
      <c r="C3" s="162"/>
      <c r="D3" s="162"/>
      <c r="E3" s="350"/>
      <c r="F3" s="162"/>
      <c r="G3" s="162"/>
      <c r="H3" s="295"/>
      <c r="I3" s="162"/>
      <c r="J3" s="162"/>
      <c r="K3" s="162"/>
      <c r="L3" s="162"/>
      <c r="M3" s="162"/>
      <c r="N3" s="162"/>
      <c r="O3" s="162"/>
      <c r="P3" s="159" t="s">
        <v>532</v>
      </c>
      <c r="Q3" s="162">
        <f>VLOOKUP(VALUE(LEFT(SelectCDM,1)),CDAmethod,4)</f>
        <v>5</v>
      </c>
      <c r="R3" s="162"/>
      <c r="S3" s="162"/>
      <c r="T3" s="216">
        <v>1</v>
      </c>
      <c r="U3" s="215" t="s">
        <v>448</v>
      </c>
      <c r="V3" s="217">
        <v>7</v>
      </c>
      <c r="W3" s="217">
        <v>7</v>
      </c>
      <c r="X3" s="219"/>
      <c r="Y3" s="162"/>
      <c r="Z3" s="162"/>
      <c r="AA3" s="460" t="str">
        <f>INDEX(StatText,A3,VLOOKUP(Lang,LangSelect,2,FALSE))</f>
        <v>Dette regnearket er utarbeidet som hjelp til vurdering av yrkeshygieniske målinger. Regnearket er basert på arbeidstilsynets veiledning og ENS-N 689.  Regnearket er utarbeidet av frivillige i NYF. NYF eller andre som har bidratt til utvikling av regnearket kan ikke gjøres ansvarlig for eventuelle feil i regnearket eller feil vurderinger som følge av bruk av dette regnearket. For spørsmål ang. regnearket se www.nyf.no/fagrad</v>
      </c>
      <c r="AB3" s="460"/>
      <c r="AC3" s="460"/>
      <c r="AD3" s="460"/>
      <c r="AE3" s="460"/>
      <c r="AF3" s="460"/>
      <c r="AG3" s="460"/>
      <c r="AH3" s="460"/>
      <c r="AI3" s="460"/>
      <c r="AJ3" s="460"/>
      <c r="AK3" s="460"/>
      <c r="AL3" s="460"/>
      <c r="AM3" s="460"/>
      <c r="AN3" s="460"/>
      <c r="AO3" s="460"/>
      <c r="AP3" s="460"/>
      <c r="AQ3" s="460"/>
      <c r="AR3" s="460"/>
      <c r="AS3" s="460"/>
      <c r="AT3" s="160"/>
      <c r="AX3" s="237" t="s">
        <v>506</v>
      </c>
      <c r="AY3" s="237" t="s">
        <v>507</v>
      </c>
      <c r="AZ3" s="246" t="s">
        <v>151</v>
      </c>
      <c r="BA3" s="246" t="s">
        <v>508</v>
      </c>
      <c r="BB3" s="246" t="s">
        <v>509</v>
      </c>
      <c r="BC3" s="246" t="s">
        <v>510</v>
      </c>
      <c r="BD3" s="246" t="s">
        <v>511</v>
      </c>
      <c r="BE3" s="246" t="s">
        <v>512</v>
      </c>
      <c r="BF3" s="246" t="s">
        <v>513</v>
      </c>
    </row>
    <row r="4" spans="1:58" ht="15" thickBot="1" x14ac:dyDescent="0.25">
      <c r="A4" s="95"/>
      <c r="B4" s="162"/>
      <c r="C4" s="162"/>
      <c r="D4" s="162"/>
      <c r="E4" s="313"/>
      <c r="F4" s="159"/>
      <c r="G4" s="159"/>
      <c r="H4" s="293"/>
      <c r="I4" s="159"/>
      <c r="J4" s="159"/>
      <c r="K4" s="159"/>
      <c r="L4" s="159"/>
      <c r="M4" s="159"/>
      <c r="N4" s="159"/>
      <c r="O4" s="159"/>
      <c r="P4" s="159"/>
      <c r="Q4" s="159"/>
      <c r="R4" s="159"/>
      <c r="S4" s="159"/>
      <c r="T4" s="216">
        <v>2</v>
      </c>
      <c r="U4" s="218" t="s">
        <v>449</v>
      </c>
      <c r="V4" s="217">
        <v>2</v>
      </c>
      <c r="W4" s="219">
        <v>2</v>
      </c>
      <c r="X4" s="219"/>
      <c r="Y4" s="159"/>
      <c r="Z4" s="110"/>
      <c r="AA4" s="465" t="str">
        <f>INDEX(StatText,Z5,VLOOKUP(Lang,LangSelect,2,FALSE))</f>
        <v>Om "UTVALGET": 
BESKRIVENDE STATISTIKK (verdier &gt; DG):</v>
      </c>
      <c r="AB4" s="465"/>
      <c r="AC4" s="95"/>
      <c r="AD4" s="111"/>
      <c r="AE4" s="111"/>
      <c r="AF4" s="111"/>
      <c r="AG4" s="111"/>
      <c r="AH4" s="111"/>
      <c r="AI4" s="95"/>
      <c r="AJ4" s="111"/>
      <c r="AK4" s="111"/>
      <c r="AL4" s="111"/>
      <c r="AM4" s="111"/>
      <c r="AN4" s="111"/>
      <c r="AO4" s="111"/>
      <c r="AP4" s="111"/>
      <c r="AQ4" s="111"/>
      <c r="AR4" s="111"/>
      <c r="AS4" s="111"/>
      <c r="AT4" s="160"/>
      <c r="AX4" s="237">
        <v>3</v>
      </c>
      <c r="AY4" s="237"/>
      <c r="AZ4" s="246">
        <v>0</v>
      </c>
      <c r="BA4" s="246">
        <v>3</v>
      </c>
      <c r="BB4" s="246"/>
      <c r="BC4" s="1" t="s">
        <v>448</v>
      </c>
      <c r="BD4" s="246"/>
      <c r="BE4" s="1" t="s">
        <v>450</v>
      </c>
      <c r="BF4" s="246"/>
    </row>
    <row r="5" spans="1:58" ht="15" x14ac:dyDescent="0.2">
      <c r="A5" s="95">
        <v>3</v>
      </c>
      <c r="B5" s="163" t="str">
        <f>INDEX(StatText,A5,VLOOKUP(Lang,LangSelect,2,FALSE))</f>
        <v>Grenseverdi</v>
      </c>
      <c r="C5" s="164"/>
      <c r="D5" s="98" t="s">
        <v>217</v>
      </c>
      <c r="E5" s="313"/>
      <c r="F5" s="159"/>
      <c r="G5" s="159"/>
      <c r="H5" s="293"/>
      <c r="I5" s="159"/>
      <c r="J5" s="159"/>
      <c r="K5" s="159"/>
      <c r="L5" s="159"/>
      <c r="M5" s="159"/>
      <c r="N5" s="159"/>
      <c r="O5" s="159"/>
      <c r="P5" s="159"/>
      <c r="Q5" s="159"/>
      <c r="R5" s="159"/>
      <c r="S5" s="159"/>
      <c r="T5" s="213">
        <v>3</v>
      </c>
      <c r="U5" s="218" t="s">
        <v>450</v>
      </c>
      <c r="V5" s="217">
        <v>3</v>
      </c>
      <c r="W5" s="219">
        <v>3</v>
      </c>
      <c r="X5" s="219"/>
      <c r="Y5" s="159"/>
      <c r="Z5" s="110">
        <v>4</v>
      </c>
      <c r="AA5" s="465"/>
      <c r="AB5" s="465"/>
      <c r="AC5" s="95">
        <v>37</v>
      </c>
      <c r="AD5" s="99" t="str">
        <f>INDEX(StatText,AC5,VLOOKUP(Lang,LangSelect,2,FALSE))</f>
        <v>ANBEFALING</v>
      </c>
      <c r="AE5" s="99"/>
      <c r="AF5" s="99"/>
      <c r="AG5" s="99"/>
      <c r="AH5" s="99"/>
      <c r="AI5" s="95"/>
      <c r="AJ5" s="111"/>
      <c r="AK5" s="111"/>
      <c r="AL5" s="111"/>
      <c r="AM5" s="111"/>
      <c r="AN5" s="111"/>
      <c r="AO5" s="111"/>
      <c r="AP5" s="111"/>
      <c r="AQ5" s="111"/>
      <c r="AR5" s="111"/>
      <c r="AS5" s="111"/>
      <c r="AT5" s="160"/>
      <c r="AX5" s="237">
        <v>3</v>
      </c>
      <c r="AY5" s="237"/>
      <c r="AZ5" s="246" t="s">
        <v>516</v>
      </c>
      <c r="BA5" s="246" t="s">
        <v>517</v>
      </c>
      <c r="BB5" s="246" t="s">
        <v>515</v>
      </c>
      <c r="BC5" s="246" t="s">
        <v>70</v>
      </c>
      <c r="BD5" s="246" t="s">
        <v>518</v>
      </c>
      <c r="BE5" s="246" t="s">
        <v>519</v>
      </c>
      <c r="BF5" s="246">
        <v>32</v>
      </c>
    </row>
    <row r="6" spans="1:58" ht="15" thickBot="1" x14ac:dyDescent="0.25">
      <c r="A6" s="95"/>
      <c r="B6" s="227">
        <f>IF(DATA!B7="","",DATA!B7)</f>
        <v>0.06</v>
      </c>
      <c r="C6" s="162"/>
      <c r="D6" s="100">
        <f>B6</f>
        <v>0.06</v>
      </c>
      <c r="E6" s="313"/>
      <c r="F6" s="111"/>
      <c r="G6" s="111"/>
      <c r="H6" s="293"/>
      <c r="I6" s="111"/>
      <c r="J6" s="111"/>
      <c r="K6" s="111"/>
      <c r="L6" s="111"/>
      <c r="M6" s="111"/>
      <c r="N6" s="111"/>
      <c r="O6" s="111"/>
      <c r="P6" s="111"/>
      <c r="Q6" s="111"/>
      <c r="R6" s="111"/>
      <c r="S6" s="111"/>
      <c r="T6" s="213">
        <v>4</v>
      </c>
      <c r="U6" s="218" t="s">
        <v>536</v>
      </c>
      <c r="V6" s="217">
        <v>6</v>
      </c>
      <c r="W6" s="219">
        <v>5</v>
      </c>
      <c r="X6" s="219"/>
      <c r="Y6" s="159"/>
      <c r="Z6" s="110">
        <v>5</v>
      </c>
      <c r="AA6" s="281" t="str">
        <f t="shared" ref="AA6:AA18" si="0">INDEX(StatText,Z6,VLOOKUP(Lang,LangSelect,2,FALSE))</f>
        <v xml:space="preserve">Antall målinger (n): </v>
      </c>
      <c r="AB6" s="282">
        <f>COUNTIF(B12:B61,"&gt;0")</f>
        <v>11</v>
      </c>
      <c r="AC6" s="95">
        <v>38</v>
      </c>
      <c r="AD6" s="449" t="str">
        <f>INDEX(StatText,AC6,VLOOKUP(Lang,LangSelect,2,FALSE))</f>
        <v>I tillegg til en statistisk vurdering av måleresultatene må det gjøres en faglig vurdering. Denne dokumenteres under "Samlet vurdering".</v>
      </c>
      <c r="AE6" s="449"/>
      <c r="AF6" s="449"/>
      <c r="AG6" s="449"/>
      <c r="AH6" s="449"/>
      <c r="AI6" s="95"/>
      <c r="AJ6" s="111"/>
      <c r="AK6" s="111"/>
      <c r="AL6" s="111"/>
      <c r="AM6" s="111"/>
      <c r="AN6" s="111"/>
      <c r="AO6" s="111"/>
      <c r="AP6" s="111"/>
      <c r="AQ6" s="111"/>
      <c r="AR6" s="111"/>
      <c r="AS6" s="111"/>
      <c r="AT6" s="160"/>
      <c r="AX6" s="237">
        <v>3</v>
      </c>
      <c r="AY6" s="237"/>
      <c r="AZ6" s="246">
        <v>1</v>
      </c>
      <c r="BA6" s="246" t="s">
        <v>514</v>
      </c>
      <c r="BB6" s="246" t="s">
        <v>515</v>
      </c>
      <c r="BC6" s="246" t="s">
        <v>519</v>
      </c>
      <c r="BD6" s="246" t="s">
        <v>520</v>
      </c>
      <c r="BE6" s="246" t="s">
        <v>519</v>
      </c>
      <c r="BF6" s="246">
        <v>30</v>
      </c>
    </row>
    <row r="7" spans="1:58" ht="15" thickBot="1" x14ac:dyDescent="0.25">
      <c r="A7" s="313"/>
      <c r="B7" s="100">
        <v>34</v>
      </c>
      <c r="C7" s="100">
        <v>35</v>
      </c>
      <c r="D7" s="100">
        <v>36</v>
      </c>
      <c r="E7" s="313"/>
      <c r="F7" s="159"/>
      <c r="G7" s="159" t="s">
        <v>0</v>
      </c>
      <c r="H7" s="159"/>
      <c r="I7" s="159" t="s">
        <v>1</v>
      </c>
      <c r="J7" s="159"/>
      <c r="K7" s="159" t="s">
        <v>2</v>
      </c>
      <c r="L7" s="159" t="s">
        <v>3</v>
      </c>
      <c r="M7" s="159"/>
      <c r="N7" s="159"/>
      <c r="O7" s="159"/>
      <c r="P7" s="159"/>
      <c r="Q7" s="159"/>
      <c r="R7" s="159"/>
      <c r="S7" s="159"/>
      <c r="T7" s="213">
        <v>5</v>
      </c>
      <c r="U7" s="218" t="s">
        <v>539</v>
      </c>
      <c r="V7" s="217">
        <v>7</v>
      </c>
      <c r="W7" s="219">
        <v>7</v>
      </c>
      <c r="X7" s="219"/>
      <c r="Y7" s="159"/>
      <c r="Z7" s="110">
        <v>6</v>
      </c>
      <c r="AA7" s="281" t="str">
        <f t="shared" si="0"/>
        <v>Antall målinger under DG (m):</v>
      </c>
      <c r="AB7" s="282">
        <f>IF(COUNTIF(C12:C61,"=&lt;")&gt;N,N,COUNTIF(C12:C61,"=&lt;"))</f>
        <v>4</v>
      </c>
      <c r="AC7" s="95"/>
      <c r="AD7" s="450"/>
      <c r="AE7" s="450"/>
      <c r="AF7" s="450"/>
      <c r="AG7" s="450"/>
      <c r="AH7" s="450"/>
      <c r="AI7" s="95"/>
      <c r="AJ7" s="111"/>
      <c r="AK7" s="111"/>
      <c r="AL7" s="111"/>
      <c r="AM7" s="111"/>
      <c r="AN7" s="111"/>
      <c r="AO7" s="111"/>
      <c r="AP7" s="111"/>
      <c r="AQ7" s="111"/>
      <c r="AR7" s="111"/>
      <c r="AS7" s="111"/>
      <c r="AT7" s="160"/>
      <c r="AX7" s="290">
        <v>4</v>
      </c>
      <c r="AY7" s="290">
        <v>5</v>
      </c>
      <c r="AZ7" s="246" t="s">
        <v>516</v>
      </c>
      <c r="BA7" s="246" t="s">
        <v>517</v>
      </c>
      <c r="BB7" s="246" t="s">
        <v>515</v>
      </c>
      <c r="BC7" s="246" t="s">
        <v>70</v>
      </c>
      <c r="BD7" s="246" t="s">
        <v>518</v>
      </c>
      <c r="BE7" s="246" t="s">
        <v>519</v>
      </c>
      <c r="BF7" s="246">
        <v>36</v>
      </c>
    </row>
    <row r="8" spans="1:58" ht="16" customHeight="1" x14ac:dyDescent="0.2">
      <c r="A8" s="313"/>
      <c r="B8" s="437" t="str">
        <f>INDEX(StatText,B7,VLOOKUP(Lang,LangSelect,2,FALSE))</f>
        <v>Måledata</v>
      </c>
      <c r="C8" s="437" t="str">
        <f>INDEX(StatText,C7,VLOOKUP(Lang,LangSelect,2,FALSE))</f>
        <v>Mindre enn DG (&lt;)</v>
      </c>
      <c r="D8" s="437" t="str">
        <f>INDEX(StatText,D7,VLOOKUP(Lang,LangSelect,2,FALSE))</f>
        <v>Data benyttet 
(se Verdier &lt; DG)</v>
      </c>
      <c r="E8" s="313"/>
      <c r="F8" s="159" t="s">
        <v>4</v>
      </c>
      <c r="G8" s="159" t="s">
        <v>5</v>
      </c>
      <c r="H8" s="159" t="s">
        <v>6</v>
      </c>
      <c r="I8" s="159" t="s">
        <v>5</v>
      </c>
      <c r="J8" s="159" t="s">
        <v>6</v>
      </c>
      <c r="K8" s="159" t="s">
        <v>7</v>
      </c>
      <c r="L8" s="159" t="s">
        <v>8</v>
      </c>
      <c r="M8" s="159" t="s">
        <v>9</v>
      </c>
      <c r="N8" s="159" t="s">
        <v>10</v>
      </c>
      <c r="O8" s="159"/>
      <c r="P8" s="159" t="s">
        <v>11</v>
      </c>
      <c r="Q8" s="159" t="s">
        <v>12</v>
      </c>
      <c r="R8" s="296" t="s">
        <v>456</v>
      </c>
      <c r="S8" s="159" t="s">
        <v>449</v>
      </c>
      <c r="T8" s="221" t="s">
        <v>450</v>
      </c>
      <c r="U8" s="211" t="s">
        <v>446</v>
      </c>
      <c r="V8" s="212" t="s">
        <v>455</v>
      </c>
      <c r="W8" s="212" t="s">
        <v>286</v>
      </c>
      <c r="X8" s="212" t="s">
        <v>448</v>
      </c>
      <c r="Y8" s="159" t="s">
        <v>538</v>
      </c>
      <c r="Z8" s="110">
        <v>7</v>
      </c>
      <c r="AA8" s="281" t="str">
        <f t="shared" si="0"/>
        <v>Høyeste målte verdi (Maks):</v>
      </c>
      <c r="AB8" s="287">
        <f>IF(N=0,"",IF(AND(N-M=0),"&lt; "&amp;ROUND(MAX(X9:X59),2),ROUND(MAX(MeasurednotLOD),2)))</f>
        <v>0.03</v>
      </c>
      <c r="AC8" s="95">
        <v>40</v>
      </c>
      <c r="AD8" s="165" t="str">
        <f>INDEX(StatText,AC8,VLOOKUP(Lang,LangSelect,2,FALSE))</f>
        <v>Antall målinger (3 til 5):</v>
      </c>
      <c r="AE8" s="166"/>
      <c r="AF8" s="166"/>
      <c r="AG8" s="166"/>
      <c r="AH8" s="166"/>
      <c r="AI8" s="95"/>
      <c r="AJ8" s="111"/>
      <c r="AK8" s="111"/>
      <c r="AL8" s="111"/>
      <c r="AM8" s="111"/>
      <c r="AN8" s="111"/>
      <c r="AO8" s="111"/>
      <c r="AP8" s="111"/>
      <c r="AQ8" s="111"/>
      <c r="AR8" s="111"/>
      <c r="AS8" s="111"/>
      <c r="AT8" s="160"/>
      <c r="AX8" s="290">
        <v>4</v>
      </c>
      <c r="AY8" s="290">
        <v>5</v>
      </c>
      <c r="AZ8" s="246">
        <v>1</v>
      </c>
      <c r="BA8" s="246" t="s">
        <v>514</v>
      </c>
      <c r="BB8" s="246" t="s">
        <v>515</v>
      </c>
      <c r="BC8" s="246" t="s">
        <v>519</v>
      </c>
      <c r="BD8" s="246" t="s">
        <v>520</v>
      </c>
      <c r="BE8" s="246" t="s">
        <v>519</v>
      </c>
      <c r="BF8" s="246">
        <v>34</v>
      </c>
    </row>
    <row r="9" spans="1:58" ht="22" customHeight="1" x14ac:dyDescent="0.2">
      <c r="A9" s="313"/>
      <c r="B9" s="438"/>
      <c r="C9" s="438"/>
      <c r="D9" s="438"/>
      <c r="E9" s="313"/>
      <c r="F9" s="159">
        <f t="shared" ref="F9:F40" si="1">N114</f>
        <v>3.6170058728993606</v>
      </c>
      <c r="G9" s="167">
        <f t="shared" ref="G9:G21" si="2">$G$124</f>
        <v>0.1</v>
      </c>
      <c r="H9" s="159">
        <f>2.33 + 5</f>
        <v>7.33</v>
      </c>
      <c r="I9" s="159">
        <f t="shared" ref="I9:I21" si="3">CEILING($AB$8,5)</f>
        <v>5</v>
      </c>
      <c r="J9" s="159">
        <f t="shared" ref="J9:J21" si="4">H9</f>
        <v>7.33</v>
      </c>
      <c r="K9" s="159">
        <f t="shared" ref="K9:K28" si="5">IF(ISNUMBER(Q114),Q114)</f>
        <v>3.0000000000000001E-3</v>
      </c>
      <c r="L9" s="159">
        <f t="shared" ref="L9:L40" si="6">IF(ISNUMBER(U114),U114)</f>
        <v>3.6170058728993606</v>
      </c>
      <c r="M9" s="159">
        <f>IF(AND(D12&gt;$B$6,ISNUMBER(B12),B12&lt;&gt;0),1,0)</f>
        <v>0</v>
      </c>
      <c r="N9" s="228">
        <f>IF(ISNUMBER(Q114),LN(Q114))</f>
        <v>-5.8091429903140277</v>
      </c>
      <c r="O9" s="159"/>
      <c r="P9" s="168">
        <f t="shared" ref="P9:P40" si="7">IF(ISNUMBER(D12),(D12-$AB$12)^2)</f>
        <v>1.6862877551020414E-4</v>
      </c>
      <c r="Q9" s="159">
        <f t="shared" ref="Q9:Q40" si="8">IF(ISNUMBER(N9),(N9-$AB$15)^2)</f>
        <v>1.6024162862932252</v>
      </c>
      <c r="R9" s="159">
        <f>IF(ISNUMBER(Beta!I10),Beta!I10,"")</f>
        <v>3.0000000000000001E-3</v>
      </c>
      <c r="S9" s="159">
        <f>IF(AND(ISNUMBER($B12),$B12&gt;0),IF(C12="&lt;",B12/SQRT(2),B12),"")</f>
        <v>3.0000000000000001E-3</v>
      </c>
      <c r="T9" s="221">
        <f>IF(AND(ISNUMBER($B12),$B12&gt;0),IF(C12="&lt;",B12/2,B12),"")</f>
        <v>3.0000000000000001E-3</v>
      </c>
      <c r="U9" s="169">
        <f>IF(ISNUMBER(Beta!J10),Beta!J10,"")</f>
        <v>-5.8091429903140277</v>
      </c>
      <c r="V9" s="207">
        <f>IF(ISNUMBER(Beta!H10),Beta!H10,"")</f>
        <v>3.0000000000000001E-3</v>
      </c>
      <c r="W9" s="207">
        <f>IF(ISNUMBER(Beta!L10),Beta!L10,"")</f>
        <v>3.0000000000000001E-3</v>
      </c>
      <c r="X9" s="207">
        <f>IF(AND(ISNUMBER($B12),$B12&gt;0),B12,"")</f>
        <v>3.0000000000000001E-3</v>
      </c>
      <c r="Y9" s="159">
        <f>IF(ISNUMBER(D12),D12,NA())</f>
        <v>3.0000000000000001E-3</v>
      </c>
      <c r="Z9" s="110">
        <v>8</v>
      </c>
      <c r="AA9" s="281" t="str">
        <f t="shared" si="0"/>
        <v>Laveste målte verdi (Min):</v>
      </c>
      <c r="AB9" s="287">
        <f>IF(N=0,"",IF((N-M=0),"&lt; "&amp;ROUND(MIN(X9:X59),2),ROUND(MIN(MeasurednotLOD),2)))</f>
        <v>0</v>
      </c>
      <c r="AC9" s="95">
        <v>41</v>
      </c>
      <c r="AD9" s="170" t="str">
        <f>INDEX(StatText,AC9,VLOOKUP(Lang,LangSelect,2,FALSE))</f>
        <v>Beslutningskriterier jfr. NS-EN 689:</v>
      </c>
      <c r="AE9" s="170"/>
      <c r="AF9" s="194" t="str">
        <f>INDEX(StatText,AH9,VLOOKUP(Lang,LangSelect,2,FALSE))</f>
        <v>n=3: maks &lt; 10% av GV</v>
      </c>
      <c r="AG9" s="355">
        <v>3</v>
      </c>
      <c r="AH9" s="355">
        <v>42</v>
      </c>
      <c r="AI9" s="95">
        <v>0.1</v>
      </c>
      <c r="AJ9" s="111"/>
      <c r="AK9" s="111"/>
      <c r="AL9" s="111"/>
      <c r="AM9" s="111"/>
      <c r="AN9" s="111"/>
      <c r="AO9" s="111"/>
      <c r="AP9" s="111"/>
      <c r="AQ9" s="111"/>
      <c r="AR9" s="111"/>
      <c r="AS9" s="111"/>
      <c r="AT9" s="160"/>
      <c r="AX9" s="290">
        <v>6</v>
      </c>
      <c r="AY9" s="290">
        <v>10</v>
      </c>
      <c r="AZ9" s="246" t="s">
        <v>516</v>
      </c>
      <c r="BA9" s="246" t="s">
        <v>517</v>
      </c>
      <c r="BB9" s="246" t="s">
        <v>515</v>
      </c>
      <c r="BC9" s="246" t="s">
        <v>70</v>
      </c>
      <c r="BD9" s="246" t="s">
        <v>518</v>
      </c>
      <c r="BE9" s="246" t="s">
        <v>521</v>
      </c>
      <c r="BF9" s="246">
        <v>40</v>
      </c>
    </row>
    <row r="10" spans="1:58" ht="18" customHeight="1" x14ac:dyDescent="0.2">
      <c r="A10" s="313"/>
      <c r="B10" s="438"/>
      <c r="C10" s="438"/>
      <c r="D10" s="438"/>
      <c r="E10" s="313"/>
      <c r="F10" s="159">
        <f t="shared" si="1"/>
        <v>4.0325784338982995</v>
      </c>
      <c r="G10" s="167">
        <f t="shared" si="2"/>
        <v>0.1</v>
      </c>
      <c r="H10" s="159">
        <f>5+2.05</f>
        <v>7.05</v>
      </c>
      <c r="I10" s="159">
        <f t="shared" si="3"/>
        <v>5</v>
      </c>
      <c r="J10" s="159">
        <f t="shared" si="4"/>
        <v>7.05</v>
      </c>
      <c r="K10" s="159">
        <f t="shared" si="5"/>
        <v>3.2000000000000002E-3</v>
      </c>
      <c r="L10" s="159">
        <f t="shared" si="6"/>
        <v>4.0325784338982995</v>
      </c>
      <c r="M10" s="159">
        <f>IF(AND(D13&gt;$B$6,ISNUMBER(B13),B13&lt;&gt;0),1,0)</f>
        <v>0</v>
      </c>
      <c r="N10" s="228">
        <f t="shared" ref="N10:N40" si="9">IF(ISNUMBER(Q115),LN(Q115))</f>
        <v>-5.7446044691764557</v>
      </c>
      <c r="O10" s="159"/>
      <c r="P10" s="168">
        <f t="shared" si="7"/>
        <v>2.6448979591836668E-7</v>
      </c>
      <c r="Q10" s="159">
        <f t="shared" si="8"/>
        <v>1.44318729042675</v>
      </c>
      <c r="R10" s="159">
        <f>IF(ISNUMBER(Beta!I11),Beta!I11,"")</f>
        <v>1.6500000000000001E-2</v>
      </c>
      <c r="S10" s="159">
        <f t="shared" ref="S10:S59" si="10">IF(AND(ISNUMBER($B13),$B13&gt;0),IF(C13="&lt;",B13/SQRT(2),B13),"")</f>
        <v>1.6500000000000001E-2</v>
      </c>
      <c r="T10" s="221">
        <f t="shared" ref="T10:T59" si="11">IF(AND(ISNUMBER($B13),$B13&gt;0),IF(C13="&lt;",B13/2,B13),"")</f>
        <v>1.6500000000000001E-2</v>
      </c>
      <c r="U10" s="169">
        <f>IF(ISNUMBER(Beta!J11),Beta!J11,"")</f>
        <v>-4.1043948980756024</v>
      </c>
      <c r="V10" s="207">
        <f>IF(ISNUMBER(Beta!H11),Beta!H11,"")</f>
        <v>1.6500000000000001E-2</v>
      </c>
      <c r="W10" s="207">
        <f>IF(ISNUMBER(Beta!L11),Beta!L11,"")</f>
        <v>1.6500000000000001E-2</v>
      </c>
      <c r="X10" s="207">
        <f t="shared" ref="X10:X59" si="12">IF(AND(ISNUMBER($B13),$B13&gt;0),B13,"")</f>
        <v>1.6500000000000001E-2</v>
      </c>
      <c r="Y10" s="159">
        <f t="shared" ref="Y10:Y20" si="13">IF(ISNUMBER(D13),D13,NA())</f>
        <v>1.6500000000000001E-2</v>
      </c>
      <c r="Z10" s="110">
        <v>9</v>
      </c>
      <c r="AA10" s="281" t="str">
        <f t="shared" si="0"/>
        <v>Variasjonsbredde (spredning):</v>
      </c>
      <c r="AB10" s="287">
        <f>IF(N=0,"",IF(N-M=0,"&gt; "&amp;ROUND(MAX(X9:X59)-MIN(X9:X59),2),ROUND((AB8-AB9),2)))</f>
        <v>0.03</v>
      </c>
      <c r="AC10" s="95"/>
      <c r="AD10" s="170"/>
      <c r="AE10" s="170"/>
      <c r="AF10" s="194" t="str">
        <f>INDEX(StatText,AH10,VLOOKUP(Lang,LangSelect,2,FALSE))</f>
        <v>n=4: maks &lt; 15% av GV</v>
      </c>
      <c r="AG10" s="356">
        <v>4</v>
      </c>
      <c r="AH10" s="356">
        <v>43</v>
      </c>
      <c r="AI10" s="95">
        <v>0.15</v>
      </c>
      <c r="AJ10" s="111"/>
      <c r="AK10" s="111"/>
      <c r="AL10" s="111"/>
      <c r="AM10" s="111"/>
      <c r="AN10" s="111"/>
      <c r="AO10" s="111"/>
      <c r="AP10" s="111"/>
      <c r="AQ10" s="111"/>
      <c r="AR10" s="111"/>
      <c r="AS10" s="111"/>
      <c r="AT10" s="160"/>
      <c r="AX10" s="290">
        <v>6</v>
      </c>
      <c r="AY10" s="290">
        <v>10</v>
      </c>
      <c r="AZ10" s="246">
        <v>1</v>
      </c>
      <c r="BA10" s="246" t="s">
        <v>514</v>
      </c>
      <c r="BB10" s="246" t="s">
        <v>515</v>
      </c>
      <c r="BC10" s="246" t="s">
        <v>522</v>
      </c>
      <c r="BD10" s="246" t="s">
        <v>518</v>
      </c>
      <c r="BE10" s="246" t="s">
        <v>519</v>
      </c>
      <c r="BF10" s="246">
        <v>38</v>
      </c>
    </row>
    <row r="11" spans="1:58" ht="15" thickBot="1" x14ac:dyDescent="0.25">
      <c r="A11" s="310" t="s">
        <v>44</v>
      </c>
      <c r="B11" s="438"/>
      <c r="C11" s="438"/>
      <c r="D11" s="438"/>
      <c r="E11" s="313"/>
      <c r="F11" s="159">
        <f t="shared" si="1"/>
        <v>4.3255102498039184</v>
      </c>
      <c r="G11" s="167">
        <f t="shared" si="2"/>
        <v>0.1</v>
      </c>
      <c r="H11" s="159">
        <f>5+1.645</f>
        <v>6.6449999999999996</v>
      </c>
      <c r="I11" s="159">
        <f t="shared" si="3"/>
        <v>5</v>
      </c>
      <c r="J11" s="159">
        <f t="shared" si="4"/>
        <v>6.6449999999999996</v>
      </c>
      <c r="K11" s="159">
        <f t="shared" si="5"/>
        <v>4.7999999999999996E-3</v>
      </c>
      <c r="L11" s="159">
        <f t="shared" si="6"/>
        <v>4.3255102498039184</v>
      </c>
      <c r="M11" s="159">
        <f t="shared" ref="M11:M59" si="14">IF(AND(D14&gt;$B$6,ISNUMBER(B14),B14&lt;&gt;0),1,0)</f>
        <v>0</v>
      </c>
      <c r="N11" s="228">
        <f t="shared" si="9"/>
        <v>-5.339139361068292</v>
      </c>
      <c r="O11" s="159"/>
      <c r="P11" s="168">
        <f t="shared" si="7"/>
        <v>9.2530680102673231E-5</v>
      </c>
      <c r="Q11" s="159">
        <f t="shared" si="8"/>
        <v>0.63339663424747117</v>
      </c>
      <c r="R11" s="159">
        <f>IF(ISNUMBER(Beta!I12),Beta!I12,"")</f>
        <v>4.8402794293884617E-3</v>
      </c>
      <c r="S11" s="159">
        <f t="shared" si="10"/>
        <v>9.1923881554251165E-3</v>
      </c>
      <c r="T11" s="221">
        <f t="shared" si="11"/>
        <v>6.4999999999999997E-3</v>
      </c>
      <c r="U11" s="169">
        <f>IF(ISNUMBER(Beta!J12),Beta!J12,"")</f>
        <v>-5.3307828265753789</v>
      </c>
      <c r="V11" s="207">
        <f>IF(ISNUMBER(Beta!H12),Beta!H12,"")</f>
        <v>6.3664274045222491E-3</v>
      </c>
      <c r="W11" s="207">
        <f>IF(ISNUMBER(Beta!L12),Beta!L12,"")</f>
        <v>1.287799968485218E-2</v>
      </c>
      <c r="X11" s="207">
        <f t="shared" si="12"/>
        <v>1.2999999999999999E-2</v>
      </c>
      <c r="Y11" s="159">
        <f t="shared" si="13"/>
        <v>6.3664274045222491E-3</v>
      </c>
      <c r="Z11" s="110">
        <v>10</v>
      </c>
      <c r="AA11" s="281" t="str">
        <f t="shared" si="0"/>
        <v>Prosent over grenseverdi:</v>
      </c>
      <c r="AB11" s="283">
        <f>IF(N=0,"",IF(B6="","",(SUM(M9:M59)/AB6)*100))</f>
        <v>0</v>
      </c>
      <c r="AC11" s="95"/>
      <c r="AD11" s="170"/>
      <c r="AE11" s="170"/>
      <c r="AF11" s="194" t="str">
        <f>INDEX(StatText,AH11,VLOOKUP(Lang,LangSelect,2,FALSE))</f>
        <v>n=5: maks &lt; 20% av GV</v>
      </c>
      <c r="AG11" s="356">
        <v>5</v>
      </c>
      <c r="AH11" s="356">
        <v>44</v>
      </c>
      <c r="AI11" s="357">
        <v>0.2</v>
      </c>
      <c r="AJ11" s="111"/>
      <c r="AK11" s="111"/>
      <c r="AL11" s="111"/>
      <c r="AM11" s="111"/>
      <c r="AN11" s="111"/>
      <c r="AO11" s="111"/>
      <c r="AP11" s="111"/>
      <c r="AQ11" s="111"/>
      <c r="AR11" s="111"/>
      <c r="AS11" s="111"/>
      <c r="AT11" s="160"/>
      <c r="AX11" s="290">
        <v>11</v>
      </c>
      <c r="AY11" s="290">
        <v>19</v>
      </c>
      <c r="AZ11" s="246" t="s">
        <v>516</v>
      </c>
      <c r="BA11" s="246" t="s">
        <v>517</v>
      </c>
      <c r="BB11" s="291" t="s">
        <v>523</v>
      </c>
      <c r="BC11" s="246" t="s">
        <v>70</v>
      </c>
      <c r="BD11" s="246" t="s">
        <v>524</v>
      </c>
      <c r="BE11" s="246" t="s">
        <v>525</v>
      </c>
      <c r="BF11" s="246">
        <v>46</v>
      </c>
    </row>
    <row r="12" spans="1:58" x14ac:dyDescent="0.2">
      <c r="A12" s="313">
        <v>1</v>
      </c>
      <c r="B12" s="171">
        <f>IF(ISNUMBER(DATA!B13),DATA!B13,"")</f>
        <v>3.0000000000000001E-3</v>
      </c>
      <c r="C12" s="224" t="str">
        <f>IF(DATA!D13="&lt;",DATA!D13,"")</f>
        <v/>
      </c>
      <c r="D12" s="474">
        <f>IF(AND(ISNUMBER($B12),$B12&gt;0),INDEX(DataInCol_D,$A12,$Q$3),"")</f>
        <v>3.0000000000000001E-3</v>
      </c>
      <c r="E12" s="313"/>
      <c r="F12" s="159">
        <f t="shared" si="1"/>
        <v>4.5692727007045422</v>
      </c>
      <c r="G12" s="167">
        <f t="shared" si="2"/>
        <v>0.1</v>
      </c>
      <c r="H12" s="159">
        <f>5+1.28</f>
        <v>6.28</v>
      </c>
      <c r="I12" s="159">
        <f t="shared" si="3"/>
        <v>5</v>
      </c>
      <c r="J12" s="159">
        <f t="shared" si="4"/>
        <v>6.28</v>
      </c>
      <c r="K12" s="159">
        <f t="shared" si="5"/>
        <v>6.3664274045222491E-3</v>
      </c>
      <c r="L12" s="159">
        <f t="shared" si="6"/>
        <v>4.5692727007045422</v>
      </c>
      <c r="M12" s="159">
        <f t="shared" si="14"/>
        <v>0</v>
      </c>
      <c r="N12" s="228">
        <f t="shared" si="9"/>
        <v>-5.0567168137453562</v>
      </c>
      <c r="O12" s="159"/>
      <c r="P12" s="168">
        <f t="shared" si="7"/>
        <v>1.6347448979591841E-4</v>
      </c>
      <c r="Q12" s="159">
        <f t="shared" si="8"/>
        <v>0.26362027233398749</v>
      </c>
      <c r="R12" s="159">
        <f>IF(ISNUMBER(Beta!I13),Beta!I13,"")</f>
        <v>3.2000000000000002E-3</v>
      </c>
      <c r="S12" s="159">
        <f t="shared" si="10"/>
        <v>3.2000000000000002E-3</v>
      </c>
      <c r="T12" s="221">
        <f t="shared" si="11"/>
        <v>3.2000000000000002E-3</v>
      </c>
      <c r="U12" s="169">
        <f>IF(ISNUMBER(Beta!J13),Beta!J13,"")</f>
        <v>-5.7446044691764557</v>
      </c>
      <c r="V12" s="207">
        <f>IF(ISNUMBER(Beta!H13),Beta!H13,"")</f>
        <v>3.2000000000000002E-3</v>
      </c>
      <c r="W12" s="207">
        <f>IF(ISNUMBER(Beta!L13),Beta!L13,"")</f>
        <v>3.2000000000000002E-3</v>
      </c>
      <c r="X12" s="207">
        <f t="shared" si="12"/>
        <v>3.2000000000000002E-3</v>
      </c>
      <c r="Y12" s="159">
        <f t="shared" si="13"/>
        <v>3.2000000000000002E-3</v>
      </c>
      <c r="Z12" s="110">
        <v>11</v>
      </c>
      <c r="AA12" s="281" t="str">
        <f t="shared" si="0"/>
        <v>Aritmetisk middelverdi (AM):</v>
      </c>
      <c r="AB12" s="287">
        <f>IF(N=0,"",IF(N-M&lt;2,"n.a",AVERAGE(MeasurednotLOD)))</f>
        <v>1.5985714285714287E-2</v>
      </c>
      <c r="AC12" s="95"/>
      <c r="AD12" s="170"/>
      <c r="AE12" s="170"/>
      <c r="AF12" s="170"/>
      <c r="AG12" s="195"/>
      <c r="AH12" s="356"/>
      <c r="AI12" s="354"/>
      <c r="AJ12" s="111"/>
      <c r="AK12" s="111"/>
      <c r="AL12" s="111"/>
      <c r="AM12" s="111"/>
      <c r="AN12" s="111"/>
      <c r="AO12" s="111"/>
      <c r="AP12" s="111"/>
      <c r="AQ12" s="111"/>
      <c r="AR12" s="111"/>
      <c r="AS12" s="111"/>
      <c r="AT12" s="160"/>
      <c r="AX12" s="290">
        <v>11</v>
      </c>
      <c r="AY12" s="290">
        <v>19</v>
      </c>
      <c r="AZ12" s="246" t="s">
        <v>516</v>
      </c>
      <c r="BA12" s="246" t="s">
        <v>517</v>
      </c>
      <c r="BB12" s="292" t="s">
        <v>515</v>
      </c>
      <c r="BC12" s="246" t="s">
        <v>519</v>
      </c>
      <c r="BD12" s="246" t="s">
        <v>518</v>
      </c>
      <c r="BE12" s="246" t="s">
        <v>519</v>
      </c>
      <c r="BF12" s="246">
        <v>44</v>
      </c>
    </row>
    <row r="13" spans="1:58" ht="15" thickBot="1" x14ac:dyDescent="0.25">
      <c r="A13" s="313">
        <v>2</v>
      </c>
      <c r="B13" s="250">
        <f>IF(ISNUMBER(DATA!B14),DATA!B14,"")</f>
        <v>1.6500000000000001E-2</v>
      </c>
      <c r="C13" s="225" t="str">
        <f>IF(DATA!D14="&lt;",DATA!D14,"")</f>
        <v/>
      </c>
      <c r="D13" s="475">
        <f>IF(AND(ISNUMBER($B12),$B12&gt;0),INDEX(DataInCol_D,$A13,$Q$3),"")</f>
        <v>1.6500000000000001E-2</v>
      </c>
      <c r="E13" s="313"/>
      <c r="F13" s="159">
        <f t="shared" si="1"/>
        <v>4.7895716057520756</v>
      </c>
      <c r="G13" s="167">
        <f t="shared" si="2"/>
        <v>0.1</v>
      </c>
      <c r="H13" s="159">
        <f>5+1</f>
        <v>6</v>
      </c>
      <c r="I13" s="159">
        <f t="shared" si="3"/>
        <v>5</v>
      </c>
      <c r="J13" s="159">
        <f t="shared" si="4"/>
        <v>6</v>
      </c>
      <c r="K13" s="159">
        <f t="shared" si="5"/>
        <v>6.3664274045222491E-3</v>
      </c>
      <c r="L13" s="159">
        <f t="shared" si="6"/>
        <v>4.7895716057520756</v>
      </c>
      <c r="M13" s="159">
        <f t="shared" si="14"/>
        <v>0</v>
      </c>
      <c r="N13" s="228">
        <f t="shared" si="9"/>
        <v>-5.0567168137453562</v>
      </c>
      <c r="O13" s="159"/>
      <c r="P13" s="168">
        <f t="shared" si="7"/>
        <v>1.2512020408163272E-4</v>
      </c>
      <c r="Q13" s="159">
        <f t="shared" si="8"/>
        <v>0.26362027233398749</v>
      </c>
      <c r="R13" s="159">
        <f>IF(ISNUMBER(Beta!I14),Beta!I14,"")</f>
        <v>4.7999999999999996E-3</v>
      </c>
      <c r="S13" s="159">
        <f t="shared" si="10"/>
        <v>4.7999999999999996E-3</v>
      </c>
      <c r="T13" s="221">
        <f t="shared" si="11"/>
        <v>4.7999999999999996E-3</v>
      </c>
      <c r="U13" s="169">
        <f>IF(ISNUMBER(Beta!J14),Beta!J14,"")</f>
        <v>-5.339139361068292</v>
      </c>
      <c r="V13" s="207">
        <f>IF(ISNUMBER(Beta!H14),Beta!H14,"")</f>
        <v>4.7999999999999996E-3</v>
      </c>
      <c r="W13" s="207">
        <f>IF(ISNUMBER(Beta!L14),Beta!L14,"")</f>
        <v>4.7999999999999996E-3</v>
      </c>
      <c r="X13" s="207">
        <f t="shared" si="12"/>
        <v>4.7999999999999996E-3</v>
      </c>
      <c r="Y13" s="159">
        <f t="shared" si="13"/>
        <v>4.7999999999999996E-3</v>
      </c>
      <c r="Z13" s="110">
        <v>12</v>
      </c>
      <c r="AA13" s="281" t="str">
        <f t="shared" si="0"/>
        <v>Median:</v>
      </c>
      <c r="AB13" s="287">
        <f>IF(N=0,"",IF(N-M&lt;2,"n.a",MEDIAN(MeasurednotLOD)))</f>
        <v>1.6500000000000001E-2</v>
      </c>
      <c r="AC13" s="95">
        <v>45</v>
      </c>
      <c r="AD13" s="170" t="str">
        <f>INDEX(StatText,AC13,VLOOKUP(Lang,LangSelect,2,FALSE))</f>
        <v xml:space="preserve">Antall målinger: </v>
      </c>
      <c r="AE13" s="170"/>
      <c r="AF13" s="152" t="str">
        <f>IF(AND(AB6&gt;2, AB6&lt;6),AB6,"n.a")</f>
        <v>n.a</v>
      </c>
      <c r="AG13" s="195"/>
      <c r="AH13" s="356"/>
      <c r="AI13" s="111"/>
      <c r="AJ13" s="111"/>
      <c r="AK13" s="111"/>
      <c r="AL13" s="111"/>
      <c r="AM13" s="111"/>
      <c r="AN13" s="111"/>
      <c r="AO13" s="111"/>
      <c r="AP13" s="111"/>
      <c r="AQ13" s="111"/>
      <c r="AR13" s="111"/>
      <c r="AS13" s="111"/>
      <c r="AT13" s="160"/>
      <c r="AX13" s="290">
        <v>11</v>
      </c>
      <c r="AY13" s="290">
        <v>19</v>
      </c>
      <c r="AZ13" s="246">
        <v>1</v>
      </c>
      <c r="BA13" s="246" t="s">
        <v>514</v>
      </c>
      <c r="BB13" s="246" t="s">
        <v>515</v>
      </c>
      <c r="BC13" s="246" t="s">
        <v>522</v>
      </c>
      <c r="BD13" s="246" t="s">
        <v>518</v>
      </c>
      <c r="BE13" s="246" t="s">
        <v>519</v>
      </c>
      <c r="BF13" s="246">
        <v>42</v>
      </c>
    </row>
    <row r="14" spans="1:58" x14ac:dyDescent="0.2">
      <c r="A14" s="313">
        <v>3</v>
      </c>
      <c r="B14" s="251">
        <f>IF(ISNUMBER(DATA!B15),DATA!B15,"")</f>
        <v>1.2999999999999999E-2</v>
      </c>
      <c r="C14" s="247" t="str">
        <f>IF(DATA!D15="&lt;",DATA!D15,"")</f>
        <v>&lt;</v>
      </c>
      <c r="D14" s="476">
        <f>IF(AND(ISNUMBER($B12),$B12&gt;0),INDEX(DataInCol_D,$A14,$Q$3),"")</f>
        <v>6.3664274045222491E-3</v>
      </c>
      <c r="E14" s="313"/>
      <c r="F14" s="159">
        <f t="shared" si="1"/>
        <v>5</v>
      </c>
      <c r="G14" s="167">
        <f t="shared" si="2"/>
        <v>0.1</v>
      </c>
      <c r="H14" s="159">
        <f>5+0.67</f>
        <v>5.67</v>
      </c>
      <c r="I14" s="159">
        <f t="shared" si="3"/>
        <v>5</v>
      </c>
      <c r="J14" s="159">
        <f t="shared" si="4"/>
        <v>5.67</v>
      </c>
      <c r="K14" s="159">
        <f t="shared" si="5"/>
        <v>6.3664274045222491E-3</v>
      </c>
      <c r="L14" s="159">
        <f t="shared" si="6"/>
        <v>5</v>
      </c>
      <c r="M14" s="159">
        <f t="shared" si="14"/>
        <v>0</v>
      </c>
      <c r="N14" s="228">
        <f t="shared" si="9"/>
        <v>-5.0567168137453562</v>
      </c>
      <c r="O14" s="159"/>
      <c r="P14" s="168">
        <f t="shared" si="7"/>
        <v>2.3760020408163254E-4</v>
      </c>
      <c r="Q14" s="159">
        <f t="shared" si="8"/>
        <v>0.26362027233398749</v>
      </c>
      <c r="R14" s="159">
        <f>IF(ISNUMBER(Beta!I15),Beta!I15,"")</f>
        <v>3.1399999999999997E-2</v>
      </c>
      <c r="S14" s="159">
        <f t="shared" si="10"/>
        <v>3.1399999999999997E-2</v>
      </c>
      <c r="T14" s="221">
        <f t="shared" si="11"/>
        <v>3.1399999999999997E-2</v>
      </c>
      <c r="U14" s="169">
        <f>IF(ISNUMBER(Beta!J15),Beta!J15,"")</f>
        <v>-3.4609473860679296</v>
      </c>
      <c r="V14" s="207">
        <f>IF(ISNUMBER(Beta!H15),Beta!H15,"")</f>
        <v>3.1399999999999997E-2</v>
      </c>
      <c r="W14" s="207">
        <f>IF(ISNUMBER(Beta!L15),Beta!L15,"")</f>
        <v>3.1399999999999997E-2</v>
      </c>
      <c r="X14" s="207">
        <f t="shared" si="12"/>
        <v>3.1399999999999997E-2</v>
      </c>
      <c r="Y14" s="159">
        <f t="shared" si="13"/>
        <v>3.1399999999999997E-2</v>
      </c>
      <c r="Z14" s="110">
        <v>13</v>
      </c>
      <c r="AA14" s="281" t="str">
        <f t="shared" si="0"/>
        <v>Standardavvik (SD):</v>
      </c>
      <c r="AB14" s="287">
        <f>IF(N=0,"",IF(N-M&lt;2,"n.a",STDEV(MeasurednotLOD)))</f>
        <v>1.3093818970724138E-2</v>
      </c>
      <c r="AC14" s="95">
        <v>46</v>
      </c>
      <c r="AD14" s="170" t="str">
        <f>INDEX(StatText,AC14,VLOOKUP(Lang,LangSelect,2,FALSE))</f>
        <v>Antall &lt; DG:</v>
      </c>
      <c r="AE14" s="170"/>
      <c r="AF14" s="152" t="str">
        <f>IF(AND(AB6&gt;2, AB6&lt;6),AB7,"n.a")</f>
        <v>n.a</v>
      </c>
      <c r="AG14" s="195"/>
      <c r="AH14" s="356"/>
      <c r="AI14" s="111"/>
      <c r="AJ14" s="111"/>
      <c r="AK14" s="111"/>
      <c r="AL14" s="111"/>
      <c r="AM14" s="111"/>
      <c r="AN14" s="111"/>
      <c r="AO14" s="111"/>
      <c r="AP14" s="111"/>
      <c r="AQ14" s="111"/>
      <c r="AR14" s="111"/>
      <c r="AS14" s="111"/>
      <c r="AT14" s="160"/>
      <c r="AX14" s="290">
        <v>20</v>
      </c>
      <c r="AY14" s="290">
        <v>100</v>
      </c>
      <c r="AZ14" s="246" t="s">
        <v>516</v>
      </c>
      <c r="BA14" s="246" t="s">
        <v>517</v>
      </c>
      <c r="BB14" s="246" t="s">
        <v>526</v>
      </c>
      <c r="BC14" s="246" t="s">
        <v>70</v>
      </c>
      <c r="BD14" s="246" t="s">
        <v>519</v>
      </c>
      <c r="BE14" s="246" t="s">
        <v>519</v>
      </c>
      <c r="BF14" s="246">
        <v>26</v>
      </c>
    </row>
    <row r="15" spans="1:58" ht="19" customHeight="1" x14ac:dyDescent="0.2">
      <c r="A15" s="313">
        <v>4</v>
      </c>
      <c r="B15" s="252">
        <f>IF(ISNUMBER(DATA!B16),DATA!B16,"")</f>
        <v>3.2000000000000002E-3</v>
      </c>
      <c r="C15" s="248" t="str">
        <f>IF(DATA!D16="&lt;",DATA!D16,"")</f>
        <v/>
      </c>
      <c r="D15" s="476">
        <f>IF(AND(ISNUMBER($B12),$B12&gt;0),INDEX(DataInCol_D,$A15,$Q$3),"")</f>
        <v>3.2000000000000002E-3</v>
      </c>
      <c r="E15" s="313"/>
      <c r="F15" s="159">
        <f t="shared" si="1"/>
        <v>5.2104283942479253</v>
      </c>
      <c r="G15" s="167">
        <f t="shared" si="2"/>
        <v>0.1</v>
      </c>
      <c r="H15" s="159">
        <f>5+0</f>
        <v>5</v>
      </c>
      <c r="I15" s="159">
        <f t="shared" si="3"/>
        <v>5</v>
      </c>
      <c r="J15" s="159">
        <f t="shared" si="4"/>
        <v>5</v>
      </c>
      <c r="K15" s="159">
        <f t="shared" si="5"/>
        <v>6.8561525894854994E-3</v>
      </c>
      <c r="L15" s="159">
        <f t="shared" si="6"/>
        <v>5.2104283942479253</v>
      </c>
      <c r="M15" s="159">
        <f t="shared" si="14"/>
        <v>0</v>
      </c>
      <c r="N15" s="159">
        <f t="shared" si="9"/>
        <v>-4.9826088415916345</v>
      </c>
      <c r="O15" s="159"/>
      <c r="P15" s="168">
        <f t="shared" si="7"/>
        <v>9.2530680102673231E-5</v>
      </c>
      <c r="Q15" s="159">
        <f t="shared" si="8"/>
        <v>0.19301232156928741</v>
      </c>
      <c r="R15" s="159">
        <f>IF(ISNUMBER(Beta!I16),Beta!I16,"")</f>
        <v>4.8402794293884617E-3</v>
      </c>
      <c r="S15" s="159">
        <f t="shared" si="10"/>
        <v>9.1923881554251165E-3</v>
      </c>
      <c r="T15" s="221">
        <f t="shared" si="11"/>
        <v>6.4999999999999997E-3</v>
      </c>
      <c r="U15" s="169">
        <f>IF(ISNUMBER(Beta!J16),Beta!J16,"")</f>
        <v>-5.3307828265753789</v>
      </c>
      <c r="V15" s="207">
        <f>IF(ISNUMBER(Beta!H16),Beta!H16,"")</f>
        <v>6.3664274045222491E-3</v>
      </c>
      <c r="W15" s="207">
        <f>IF(ISNUMBER(Beta!L16),Beta!L16,"")</f>
        <v>1.287799968485218E-2</v>
      </c>
      <c r="X15" s="207">
        <f t="shared" si="12"/>
        <v>1.2999999999999999E-2</v>
      </c>
      <c r="Y15" s="159">
        <f t="shared" si="13"/>
        <v>6.3664274045222491E-3</v>
      </c>
      <c r="Z15" s="110">
        <v>14</v>
      </c>
      <c r="AA15" s="281" t="str">
        <f t="shared" si="0"/>
        <v>Middelverdi av ln-transformerte data (ȳ):</v>
      </c>
      <c r="AB15" s="287">
        <f>IF(N=0,"",IF(N-M&lt;2,"n.a",LnMeannotLOD))</f>
        <v>-4.5432771655548532</v>
      </c>
      <c r="AC15" s="95">
        <v>47</v>
      </c>
      <c r="AD15" s="170" t="str">
        <f>INDEX(StatText,AC15,VLOOKUP(Lang,LangSelect,2,FALSE))</f>
        <v>Maksimumsverdi (Maks):</v>
      </c>
      <c r="AE15" s="170"/>
      <c r="AF15" s="174" t="str">
        <f>IF(AND(AB6&gt;2, AB6&lt;6),AB8,"n.a")</f>
        <v>n.a</v>
      </c>
      <c r="AG15" s="195"/>
      <c r="AH15" s="356"/>
      <c r="AI15" s="111"/>
      <c r="AJ15" s="111"/>
      <c r="AK15" s="111"/>
      <c r="AL15" s="111"/>
      <c r="AM15" s="111"/>
      <c r="AN15" s="111"/>
      <c r="AO15" s="111"/>
      <c r="AP15" s="111"/>
      <c r="AQ15" s="111"/>
      <c r="AR15" s="111"/>
      <c r="AS15" s="111"/>
      <c r="AT15" s="160"/>
      <c r="AX15" s="290">
        <v>20</v>
      </c>
      <c r="AY15" s="290">
        <v>100</v>
      </c>
      <c r="AZ15" s="246" t="s">
        <v>516</v>
      </c>
      <c r="BA15" s="246" t="s">
        <v>517</v>
      </c>
      <c r="BB15" s="246" t="s">
        <v>527</v>
      </c>
      <c r="BC15" s="246" t="s">
        <v>528</v>
      </c>
      <c r="BD15" s="246" t="s">
        <v>529</v>
      </c>
      <c r="BE15" s="246" t="s">
        <v>519</v>
      </c>
      <c r="BF15" s="246">
        <v>25</v>
      </c>
    </row>
    <row r="16" spans="1:58" ht="19" customHeight="1" thickBot="1" x14ac:dyDescent="0.25">
      <c r="A16" s="313">
        <v>5</v>
      </c>
      <c r="B16" s="253">
        <f>IF(ISNUMBER(DATA!B17),DATA!B17,"")</f>
        <v>4.7999999999999996E-3</v>
      </c>
      <c r="C16" s="249" t="str">
        <f>IF(DATA!D17="&lt;",DATA!D17,"")</f>
        <v/>
      </c>
      <c r="D16" s="476">
        <f>IF(AND(ISNUMBER($B12),$B12&gt;0),INDEX(DataInCol_D,$A16,$Q$3),"")</f>
        <v>4.7999999999999996E-3</v>
      </c>
      <c r="E16" s="313"/>
      <c r="F16" s="159">
        <f t="shared" si="1"/>
        <v>5.4307272992954578</v>
      </c>
      <c r="G16" s="167">
        <f t="shared" si="2"/>
        <v>0.1</v>
      </c>
      <c r="H16" s="159">
        <f>5+-0.67</f>
        <v>4.33</v>
      </c>
      <c r="I16" s="159">
        <f t="shared" si="3"/>
        <v>5</v>
      </c>
      <c r="J16" s="159">
        <f t="shared" si="4"/>
        <v>4.33</v>
      </c>
      <c r="K16" s="159">
        <f t="shared" si="5"/>
        <v>1.6500000000000001E-2</v>
      </c>
      <c r="L16" s="159">
        <f t="shared" si="6"/>
        <v>5.4307272992954578</v>
      </c>
      <c r="M16" s="159">
        <f t="shared" si="14"/>
        <v>0</v>
      </c>
      <c r="N16" s="159">
        <f t="shared" si="9"/>
        <v>-4.1043948980756024</v>
      </c>
      <c r="O16" s="159"/>
      <c r="P16" s="168">
        <f t="shared" si="7"/>
        <v>9.2530680102673231E-5</v>
      </c>
      <c r="Q16" s="159">
        <f t="shared" si="8"/>
        <v>0.1926176447077286</v>
      </c>
      <c r="R16" s="159">
        <f>IF(ISNUMBER(Beta!I17),Beta!I17,"")</f>
        <v>4.8402794293884617E-3</v>
      </c>
      <c r="S16" s="159">
        <f t="shared" si="10"/>
        <v>9.1923881554251165E-3</v>
      </c>
      <c r="T16" s="221">
        <f t="shared" si="11"/>
        <v>6.4999999999999997E-3</v>
      </c>
      <c r="U16" s="169">
        <f>IF(ISNUMBER(Beta!J17),Beta!J17,"")</f>
        <v>-5.3307828265753789</v>
      </c>
      <c r="V16" s="207">
        <f>IF(ISNUMBER(Beta!H17),Beta!H17,"")</f>
        <v>6.3664274045222491E-3</v>
      </c>
      <c r="W16" s="207">
        <f>IF(ISNUMBER(Beta!L17),Beta!L17,"")</f>
        <v>1.287799968485218E-2</v>
      </c>
      <c r="X16" s="207">
        <f t="shared" si="12"/>
        <v>1.2999999999999999E-2</v>
      </c>
      <c r="Y16" s="159">
        <f t="shared" si="13"/>
        <v>6.3664274045222491E-3</v>
      </c>
      <c r="Z16" s="110">
        <v>15</v>
      </c>
      <c r="AA16" s="281" t="str">
        <f t="shared" si="0"/>
        <v>Std. Avvik av ln-transformerte data (s_y):</v>
      </c>
      <c r="AB16" s="287">
        <f>IF(N=0,"",IF(N-M&lt;2,"n.a",SdlnnotLOD))</f>
        <v>1.0590389472267157</v>
      </c>
      <c r="AC16" s="95">
        <v>48</v>
      </c>
      <c r="AD16" s="170" t="str">
        <f>INDEX(StatText,AC16,VLOOKUP(Lang,LangSelect,2,FALSE))</f>
        <v xml:space="preserve">Veiledende konklusjon: </v>
      </c>
      <c r="AE16" s="170"/>
      <c r="AF16" s="418" t="str">
        <f>IF(OR(N=0,N&gt;5),"n.a",IF(N-M&lt;2,INDEX(DataText,51,VLOOKUP(Lang,LangSelect,2,FALSE)),INDEX(StatText,VLOOKUP(AH16,Conclutions,4,FALSE),VLOOKUP(Lang,LangSelect,2,FALSE))))</f>
        <v>n.a</v>
      </c>
      <c r="AG16" s="418"/>
      <c r="AH16" s="356" t="str">
        <f>IF(AND(AF13&gt;2, AF13&lt;6),IF(AB8&gt;=GV,"K1",IF((AF15/GV)&gt;=VLOOKUP(AF13,AG9:AI11,3),"K2","K3")),"K4")</f>
        <v>K4</v>
      </c>
      <c r="AI16" s="111"/>
      <c r="AJ16" s="111"/>
      <c r="AK16" s="111"/>
      <c r="AL16" s="111"/>
      <c r="AM16" s="111"/>
      <c r="AN16" s="111"/>
      <c r="AO16" s="111"/>
      <c r="AP16" s="111"/>
      <c r="AQ16" s="111"/>
      <c r="AR16" s="111"/>
      <c r="AS16" s="111"/>
      <c r="AT16" s="160"/>
      <c r="AX16" s="290">
        <v>20</v>
      </c>
      <c r="AY16" s="290">
        <v>100</v>
      </c>
      <c r="AZ16" s="246" t="s">
        <v>516</v>
      </c>
      <c r="BA16" s="246" t="s">
        <v>517</v>
      </c>
      <c r="BB16" s="292" t="s">
        <v>523</v>
      </c>
      <c r="BC16" s="246" t="s">
        <v>528</v>
      </c>
      <c r="BD16" s="246" t="s">
        <v>529</v>
      </c>
      <c r="BE16" s="246" t="s">
        <v>519</v>
      </c>
      <c r="BF16" s="246">
        <v>24</v>
      </c>
    </row>
    <row r="17" spans="1:46" ht="15" customHeight="1" x14ac:dyDescent="0.2">
      <c r="A17" s="313">
        <v>6</v>
      </c>
      <c r="B17" s="222">
        <f>IF(ISNUMBER(DATA!B18),DATA!B18,"")</f>
        <v>3.1399999999999997E-2</v>
      </c>
      <c r="C17" s="225" t="str">
        <f>IF(DATA!D18="&lt;",DATA!D18,"")</f>
        <v/>
      </c>
      <c r="D17" s="477">
        <f>IF(AND(ISNUMBER($B12),$B12&gt;0),INDEX(DataInCol_D,$A17,$Q$3),"")</f>
        <v>3.1399999999999997E-2</v>
      </c>
      <c r="E17" s="313"/>
      <c r="F17" s="159">
        <f t="shared" si="1"/>
        <v>5.6744897501960816</v>
      </c>
      <c r="G17" s="167">
        <f t="shared" si="2"/>
        <v>0.1</v>
      </c>
      <c r="H17" s="159">
        <f>5+-1</f>
        <v>4</v>
      </c>
      <c r="I17" s="159">
        <f t="shared" si="3"/>
        <v>5</v>
      </c>
      <c r="J17" s="159">
        <f t="shared" si="4"/>
        <v>4</v>
      </c>
      <c r="K17" s="159">
        <f t="shared" si="5"/>
        <v>1.9E-2</v>
      </c>
      <c r="L17" s="159">
        <f t="shared" si="6"/>
        <v>5.6744897501960816</v>
      </c>
      <c r="M17" s="159">
        <f t="shared" si="14"/>
        <v>0</v>
      </c>
      <c r="N17" s="159">
        <f t="shared" si="9"/>
        <v>-3.9633162998156966</v>
      </c>
      <c r="O17" s="159"/>
      <c r="P17" s="168">
        <f t="shared" si="7"/>
        <v>3.2451448979591843E-4</v>
      </c>
      <c r="Q17" s="159">
        <f t="shared" si="8"/>
        <v>0.33635460578891202</v>
      </c>
      <c r="R17" s="159">
        <f>IF(ISNUMBER(Beta!I18),Beta!I18,"")</f>
        <v>3.4000000000000002E-2</v>
      </c>
      <c r="S17" s="159">
        <f t="shared" si="10"/>
        <v>3.4000000000000002E-2</v>
      </c>
      <c r="T17" s="221">
        <f t="shared" si="11"/>
        <v>3.4000000000000002E-2</v>
      </c>
      <c r="U17" s="169">
        <f>IF(ISNUMBER(Beta!J18),Beta!J18,"")</f>
        <v>-3.3813947543659757</v>
      </c>
      <c r="V17" s="207">
        <f>IF(ISNUMBER(Beta!H18),Beta!H18,"")</f>
        <v>3.4000000000000002E-2</v>
      </c>
      <c r="W17" s="207">
        <f>IF(ISNUMBER(Beta!L18),Beta!L18,"")</f>
        <v>3.4000000000000002E-2</v>
      </c>
      <c r="X17" s="207">
        <f t="shared" si="12"/>
        <v>3.4000000000000002E-2</v>
      </c>
      <c r="Y17" s="159">
        <f t="shared" si="13"/>
        <v>3.4000000000000002E-2</v>
      </c>
      <c r="Z17" s="110">
        <v>16</v>
      </c>
      <c r="AA17" s="281" t="str">
        <f t="shared" si="0"/>
        <v>Geometrisk middelverdi (GM):</v>
      </c>
      <c r="AB17" s="287">
        <f>IF(N=0,"",IF(N-M&lt;2,"n.a",EXP(AB15)))</f>
        <v>1.0638485285854532E-2</v>
      </c>
      <c r="AC17" s="95"/>
      <c r="AD17" s="170"/>
      <c r="AE17" s="170"/>
      <c r="AF17" s="455"/>
      <c r="AG17" s="455"/>
      <c r="AH17" s="170"/>
      <c r="AI17" s="111"/>
      <c r="AJ17" s="111"/>
      <c r="AK17" s="111"/>
      <c r="AL17" s="111"/>
      <c r="AM17" s="111"/>
      <c r="AN17" s="111"/>
      <c r="AO17" s="111"/>
      <c r="AP17" s="111"/>
      <c r="AQ17" s="111"/>
      <c r="AR17" s="111"/>
      <c r="AS17" s="111"/>
      <c r="AT17" s="160"/>
    </row>
    <row r="18" spans="1:46" x14ac:dyDescent="0.2">
      <c r="A18" s="313">
        <v>7</v>
      </c>
      <c r="B18" s="222">
        <f>IF(ISNUMBER(DATA!B19),DATA!B19,"")</f>
        <v>1.2999999999999999E-2</v>
      </c>
      <c r="C18" s="225" t="str">
        <f>IF(DATA!D19="&lt;",DATA!D19,"")</f>
        <v>&lt;</v>
      </c>
      <c r="D18" s="478">
        <f t="shared" ref="D18:D61" si="15">IF(ISNUMBER($B18),INDEX(DataInCol_D,$A18,$Q$3),"")</f>
        <v>6.3664274045222491E-3</v>
      </c>
      <c r="E18" s="313"/>
      <c r="F18" s="159">
        <f t="shared" si="1"/>
        <v>5.9674215661017005</v>
      </c>
      <c r="G18" s="167">
        <f t="shared" si="2"/>
        <v>0.1</v>
      </c>
      <c r="H18" s="159">
        <f>5+-1.28</f>
        <v>3.7199999999999998</v>
      </c>
      <c r="I18" s="159">
        <f t="shared" si="3"/>
        <v>5</v>
      </c>
      <c r="J18" s="159">
        <f t="shared" si="4"/>
        <v>3.7199999999999998</v>
      </c>
      <c r="K18" s="159">
        <f t="shared" si="5"/>
        <v>3.1399999999999997E-2</v>
      </c>
      <c r="L18" s="159">
        <f t="shared" si="6"/>
        <v>5.9674215661017005</v>
      </c>
      <c r="M18" s="159">
        <f t="shared" si="14"/>
        <v>0</v>
      </c>
      <c r="N18" s="159">
        <f t="shared" si="9"/>
        <v>-3.4609473860679296</v>
      </c>
      <c r="O18" s="159"/>
      <c r="P18" s="168">
        <f t="shared" si="7"/>
        <v>8.3348896765247864E-5</v>
      </c>
      <c r="Q18" s="159">
        <f t="shared" si="8"/>
        <v>1.1714377515642125</v>
      </c>
      <c r="R18" s="159">
        <f>IF(ISNUMBER(Beta!I19),Beta!I19,"")</f>
        <v>5.2126086162644983E-3</v>
      </c>
      <c r="S18" s="159">
        <f t="shared" si="10"/>
        <v>9.899494936611665E-3</v>
      </c>
      <c r="T18" s="221">
        <f t="shared" si="11"/>
        <v>7.0000000000000001E-3</v>
      </c>
      <c r="U18" s="169">
        <f>IF(ISNUMBER(Beta!J19),Beta!J19,"")</f>
        <v>-5.2566748544216564</v>
      </c>
      <c r="V18" s="207">
        <f>IF(ISNUMBER(Beta!H19),Beta!H19,"")</f>
        <v>6.8561525894854994E-3</v>
      </c>
      <c r="W18" s="207">
        <f>IF(ISNUMBER(Beta!L19),Beta!L19,"")</f>
        <v>1.3868615045225425E-2</v>
      </c>
      <c r="X18" s="207">
        <f t="shared" si="12"/>
        <v>1.4E-2</v>
      </c>
      <c r="Y18" s="159">
        <f t="shared" si="13"/>
        <v>6.8561525894854994E-3</v>
      </c>
      <c r="Z18" s="110">
        <v>17</v>
      </c>
      <c r="AA18" s="281" t="str">
        <f t="shared" si="0"/>
        <v>Geometrisk standardavvik (GSD):</v>
      </c>
      <c r="AB18" s="287">
        <f>IF(N=0,"",IF(N-M&lt;2,"n.a",EXP(AB16)))</f>
        <v>2.8835983669555807</v>
      </c>
      <c r="AC18" s="95">
        <v>49</v>
      </c>
      <c r="AD18" s="165" t="str">
        <f>INDEX(StatText,AC18,VLOOKUP(Lang,LangSelect,2,FALSE))</f>
        <v>Antall målinger (6 eller flere):</v>
      </c>
      <c r="AE18" s="166"/>
      <c r="AF18" s="172"/>
      <c r="AG18" s="172"/>
      <c r="AH18" s="172"/>
      <c r="AI18" s="95"/>
      <c r="AJ18" s="111"/>
      <c r="AK18" s="111"/>
      <c r="AL18" s="111"/>
      <c r="AM18" s="111"/>
      <c r="AN18" s="111"/>
      <c r="AO18" s="111"/>
      <c r="AP18" s="111"/>
      <c r="AQ18" s="111"/>
      <c r="AR18" s="111"/>
      <c r="AS18" s="111"/>
      <c r="AT18" s="160"/>
    </row>
    <row r="19" spans="1:46" ht="15" customHeight="1" x14ac:dyDescent="0.2">
      <c r="A19" s="313">
        <v>8</v>
      </c>
      <c r="B19" s="222">
        <f>IF(ISNUMBER(DATA!B20),DATA!B20,"")</f>
        <v>1.2999999999999999E-2</v>
      </c>
      <c r="C19" s="225" t="str">
        <f>IF(DATA!D20="&lt;",DATA!D20,"")</f>
        <v>&lt;</v>
      </c>
      <c r="D19" s="478">
        <f t="shared" si="15"/>
        <v>6.3664274045222491E-3</v>
      </c>
      <c r="E19" s="313"/>
      <c r="F19" s="159">
        <f t="shared" si="1"/>
        <v>6.3829941271006376</v>
      </c>
      <c r="G19" s="167">
        <f t="shared" si="2"/>
        <v>0.1</v>
      </c>
      <c r="H19" s="159">
        <f>5+-1.645</f>
        <v>3.355</v>
      </c>
      <c r="I19" s="159">
        <f t="shared" si="3"/>
        <v>5</v>
      </c>
      <c r="J19" s="159">
        <f t="shared" si="4"/>
        <v>3.355</v>
      </c>
      <c r="K19" s="159">
        <f t="shared" si="5"/>
        <v>3.4000000000000002E-2</v>
      </c>
      <c r="L19" s="159">
        <f t="shared" si="6"/>
        <v>6.3829941271006376</v>
      </c>
      <c r="M19" s="159">
        <f t="shared" si="14"/>
        <v>0</v>
      </c>
      <c r="N19" s="159">
        <f t="shared" si="9"/>
        <v>-3.3813947543659757</v>
      </c>
      <c r="O19" s="159"/>
      <c r="P19" s="168">
        <f t="shared" si="7"/>
        <v>9.0859183673469268E-6</v>
      </c>
      <c r="Q19" s="159">
        <f t="shared" si="8"/>
        <v>1.3499707374300798</v>
      </c>
      <c r="R19" s="159">
        <f>IF(ISNUMBER(Beta!I20),Beta!I20,"")</f>
        <v>1.9E-2</v>
      </c>
      <c r="S19" s="159">
        <f t="shared" si="10"/>
        <v>1.9E-2</v>
      </c>
      <c r="T19" s="221">
        <f t="shared" si="11"/>
        <v>1.9E-2</v>
      </c>
      <c r="U19" s="169">
        <f>IF(ISNUMBER(Beta!J20),Beta!J20,"")</f>
        <v>-3.9633162998156966</v>
      </c>
      <c r="V19" s="207">
        <f>IF(ISNUMBER(Beta!H20),Beta!H20,"")</f>
        <v>1.9E-2</v>
      </c>
      <c r="W19" s="207">
        <f>IF(ISNUMBER(Beta!L20),Beta!L20,"")</f>
        <v>1.9E-2</v>
      </c>
      <c r="X19" s="207">
        <f t="shared" si="12"/>
        <v>1.9E-2</v>
      </c>
      <c r="Y19" s="159">
        <f t="shared" si="13"/>
        <v>1.9E-2</v>
      </c>
      <c r="Z19" s="110"/>
      <c r="AA19" s="284"/>
      <c r="AB19" s="285"/>
      <c r="AC19" s="95">
        <v>50</v>
      </c>
      <c r="AD19" s="170" t="str">
        <f>INDEX(StatText,AC19,VLOOKUP(Lang,LangSelect,2,FALSE))</f>
        <v>Beslutningskriterier jfr. NS-EN 689:</v>
      </c>
      <c r="AE19" s="170"/>
      <c r="AF19" s="451" t="str">
        <f>INDEX(StatText,AI19,VLOOKUP(Lang,LangSelect,2,FALSE))</f>
        <v>Øvre 70% konfidensgrense til 95%til skal være under grenseverdien. Hvis n&lt;11 antas log-normalfordeling.</v>
      </c>
      <c r="AG19" s="451"/>
      <c r="AH19" s="451"/>
      <c r="AI19" s="95">
        <v>39</v>
      </c>
      <c r="AJ19" s="111"/>
      <c r="AK19" s="111"/>
      <c r="AL19" s="111"/>
      <c r="AM19" s="111"/>
      <c r="AN19" s="111"/>
      <c r="AO19" s="111"/>
      <c r="AP19" s="111"/>
      <c r="AQ19" s="111"/>
      <c r="AR19" s="111"/>
      <c r="AS19" s="111"/>
      <c r="AT19" s="160"/>
    </row>
    <row r="20" spans="1:46" ht="15" x14ac:dyDescent="0.2">
      <c r="A20" s="313">
        <v>9</v>
      </c>
      <c r="B20" s="222">
        <f>IF(ISNUMBER(DATA!B21),DATA!B21,"")</f>
        <v>3.4000000000000002E-2</v>
      </c>
      <c r="C20" s="225" t="str">
        <f>IF(DATA!D21="&lt;",DATA!D21,"")</f>
        <v/>
      </c>
      <c r="D20" s="478">
        <f t="shared" si="15"/>
        <v>3.4000000000000002E-2</v>
      </c>
      <c r="E20" s="313"/>
      <c r="F20" s="159" t="e">
        <f t="shared" si="1"/>
        <v>#N/A</v>
      </c>
      <c r="G20" s="167">
        <f t="shared" si="2"/>
        <v>0.1</v>
      </c>
      <c r="H20" s="159">
        <f>5+-2.05</f>
        <v>2.95</v>
      </c>
      <c r="I20" s="159">
        <f t="shared" si="3"/>
        <v>5</v>
      </c>
      <c r="J20" s="159">
        <f t="shared" si="4"/>
        <v>2.95</v>
      </c>
      <c r="K20" s="159" t="b">
        <f t="shared" si="5"/>
        <v>0</v>
      </c>
      <c r="L20" s="159" t="b">
        <f t="shared" si="6"/>
        <v>0</v>
      </c>
      <c r="M20" s="159">
        <f t="shared" si="14"/>
        <v>0</v>
      </c>
      <c r="N20" s="159" t="b">
        <f t="shared" si="9"/>
        <v>0</v>
      </c>
      <c r="O20" s="159"/>
      <c r="P20" s="168" t="b">
        <f t="shared" si="7"/>
        <v>0</v>
      </c>
      <c r="Q20" s="159" t="b">
        <f t="shared" si="8"/>
        <v>0</v>
      </c>
      <c r="R20" s="159" t="str">
        <f>IF(ISNUMBER(Beta!I21),Beta!I21,"")</f>
        <v/>
      </c>
      <c r="S20" s="159" t="str">
        <f t="shared" si="10"/>
        <v/>
      </c>
      <c r="T20" s="221" t="str">
        <f t="shared" si="11"/>
        <v/>
      </c>
      <c r="U20" s="169" t="str">
        <f>IF(ISNUMBER(Beta!J21),Beta!J21,"")</f>
        <v/>
      </c>
      <c r="V20" s="207" t="str">
        <f>IF(ISNUMBER(Beta!H21),Beta!H21,"")</f>
        <v/>
      </c>
      <c r="W20" s="207" t="str">
        <f>IF(ISNUMBER(Beta!L21),Beta!L21,"")</f>
        <v/>
      </c>
      <c r="X20" s="207" t="str">
        <f t="shared" si="12"/>
        <v/>
      </c>
      <c r="Y20" s="159" t="e">
        <f t="shared" si="13"/>
        <v>#N/A</v>
      </c>
      <c r="Z20" s="110">
        <v>18</v>
      </c>
      <c r="AA20" s="280" t="str">
        <f>INDEX(StatText,Z20,VLOOKUP(Lang,LangSelect,2,FALSE))</f>
        <v>TEST AV FORDELING (n&gt;2, k&gt;1):</v>
      </c>
      <c r="AB20" s="286"/>
      <c r="AC20" s="95"/>
      <c r="AD20" s="170"/>
      <c r="AE20" s="170"/>
      <c r="AF20" s="452"/>
      <c r="AG20" s="452"/>
      <c r="AH20" s="452"/>
      <c r="AI20" s="95"/>
      <c r="AJ20" s="111"/>
      <c r="AK20" s="111"/>
      <c r="AL20" s="111"/>
      <c r="AM20" s="111"/>
      <c r="AN20" s="111"/>
      <c r="AO20" s="111"/>
      <c r="AP20" s="111"/>
      <c r="AQ20" s="111"/>
      <c r="AR20" s="111"/>
      <c r="AS20" s="111"/>
      <c r="AT20" s="160"/>
    </row>
    <row r="21" spans="1:46" x14ac:dyDescent="0.2">
      <c r="A21" s="313">
        <v>10</v>
      </c>
      <c r="B21" s="222">
        <f>IF(ISNUMBER(DATA!B22),DATA!B22,"")</f>
        <v>1.4E-2</v>
      </c>
      <c r="C21" s="225" t="str">
        <f>IF(DATA!D22="&lt;",DATA!D22,"")</f>
        <v>&lt;</v>
      </c>
      <c r="D21" s="478">
        <f t="shared" si="15"/>
        <v>6.8561525894854994E-3</v>
      </c>
      <c r="E21" s="313"/>
      <c r="F21" s="159" t="e">
        <f t="shared" si="1"/>
        <v>#N/A</v>
      </c>
      <c r="G21" s="167">
        <f t="shared" si="2"/>
        <v>0.1</v>
      </c>
      <c r="H21" s="159">
        <f>5+-2.33</f>
        <v>2.67</v>
      </c>
      <c r="I21" s="159">
        <f t="shared" si="3"/>
        <v>5</v>
      </c>
      <c r="J21" s="159">
        <f t="shared" si="4"/>
        <v>2.67</v>
      </c>
      <c r="K21" s="159" t="b">
        <f t="shared" si="5"/>
        <v>0</v>
      </c>
      <c r="L21" s="159" t="b">
        <f t="shared" si="6"/>
        <v>0</v>
      </c>
      <c r="M21" s="159">
        <f t="shared" si="14"/>
        <v>0</v>
      </c>
      <c r="N21" s="159" t="b">
        <f t="shared" si="9"/>
        <v>0</v>
      </c>
      <c r="O21" s="159"/>
      <c r="P21" s="168" t="b">
        <f t="shared" si="7"/>
        <v>0</v>
      </c>
      <c r="Q21" s="159" t="b">
        <f t="shared" si="8"/>
        <v>0</v>
      </c>
      <c r="R21" s="159" t="str">
        <f>IF(ISNUMBER(Beta!I22),Beta!I22,"")</f>
        <v/>
      </c>
      <c r="S21" s="159" t="str">
        <f t="shared" si="10"/>
        <v/>
      </c>
      <c r="T21" s="221" t="str">
        <f t="shared" si="11"/>
        <v/>
      </c>
      <c r="U21" s="169" t="str">
        <f>IF(ISNUMBER(Beta!J22),Beta!J22,"")</f>
        <v/>
      </c>
      <c r="V21" s="207" t="str">
        <f>IF(ISNUMBER(Beta!H22),Beta!H22,"")</f>
        <v/>
      </c>
      <c r="W21" s="207" t="str">
        <f>IF(ISNUMBER(Beta!L22),Beta!L22,"")</f>
        <v/>
      </c>
      <c r="X21" s="207" t="str">
        <f t="shared" si="12"/>
        <v/>
      </c>
      <c r="Y21" s="159" t="e">
        <f t="shared" ref="Y21:Y40" si="16">IF(ISNUMBER(D24),D24,NA())</f>
        <v>#N/A</v>
      </c>
      <c r="Z21" s="110">
        <v>19</v>
      </c>
      <c r="AA21" s="281" t="str">
        <f>INDEX(StatText,Z21,VLOOKUP(Lang,LangSelect,2,FALSE))</f>
        <v>W-test for log-normal fordeling:</v>
      </c>
      <c r="AB21" s="287">
        <f>IF(AB10=0,"n.a",E402)</f>
        <v>0.85462515435542707</v>
      </c>
      <c r="AC21" s="95"/>
      <c r="AD21" s="170"/>
      <c r="AE21" s="170"/>
      <c r="AF21" s="452"/>
      <c r="AG21" s="452"/>
      <c r="AH21" s="452"/>
      <c r="AI21" s="95"/>
      <c r="AJ21" s="111"/>
      <c r="AK21" s="111"/>
      <c r="AL21" s="111"/>
      <c r="AM21" s="111"/>
      <c r="AN21" s="111"/>
      <c r="AO21" s="111"/>
      <c r="AP21" s="111"/>
      <c r="AQ21" s="111"/>
      <c r="AR21" s="111"/>
      <c r="AS21" s="111"/>
      <c r="AT21" s="160"/>
    </row>
    <row r="22" spans="1:46" x14ac:dyDescent="0.2">
      <c r="A22" s="313">
        <v>11</v>
      </c>
      <c r="B22" s="222">
        <f>IF(ISNUMBER(DATA!B23),DATA!B23,"")</f>
        <v>1.9E-2</v>
      </c>
      <c r="C22" s="225" t="str">
        <f>IF(DATA!D23="&lt;",DATA!D23,"")</f>
        <v/>
      </c>
      <c r="D22" s="478">
        <f t="shared" si="15"/>
        <v>1.9E-2</v>
      </c>
      <c r="E22" s="313"/>
      <c r="F22" s="159" t="e">
        <f t="shared" si="1"/>
        <v>#N/A</v>
      </c>
      <c r="G22" s="159"/>
      <c r="H22" s="159"/>
      <c r="I22" s="159"/>
      <c r="J22" s="159"/>
      <c r="K22" s="159" t="b">
        <f t="shared" si="5"/>
        <v>0</v>
      </c>
      <c r="L22" s="159" t="b">
        <f t="shared" si="6"/>
        <v>0</v>
      </c>
      <c r="M22" s="159">
        <f t="shared" si="14"/>
        <v>0</v>
      </c>
      <c r="N22" s="159" t="b">
        <f t="shared" si="9"/>
        <v>0</v>
      </c>
      <c r="O22" s="159"/>
      <c r="P22" s="168" t="b">
        <f t="shared" si="7"/>
        <v>0</v>
      </c>
      <c r="Q22" s="159" t="b">
        <f t="shared" si="8"/>
        <v>0</v>
      </c>
      <c r="R22" s="159" t="str">
        <f>IF(ISNUMBER(Beta!I23),Beta!I23,"")</f>
        <v/>
      </c>
      <c r="S22" s="159" t="str">
        <f t="shared" si="10"/>
        <v/>
      </c>
      <c r="T22" s="221" t="str">
        <f t="shared" si="11"/>
        <v/>
      </c>
      <c r="U22" s="169" t="str">
        <f>IF(ISNUMBER(Beta!J23),Beta!J23,"")</f>
        <v/>
      </c>
      <c r="V22" s="207" t="str">
        <f>IF(ISNUMBER(Beta!H23),Beta!H23,"")</f>
        <v/>
      </c>
      <c r="W22" s="207" t="str">
        <f>IF(ISNUMBER(Beta!L23),Beta!L23,"")</f>
        <v/>
      </c>
      <c r="X22" s="207" t="str">
        <f t="shared" si="12"/>
        <v/>
      </c>
      <c r="Y22" s="159" t="e">
        <f t="shared" si="16"/>
        <v>#N/A</v>
      </c>
      <c r="Z22" s="110">
        <v>20</v>
      </c>
      <c r="AA22" s="281" t="str">
        <f>INDEX(StatText,Z22,VLOOKUP(Lang,LangSelect,2,FALSE))</f>
        <v>Log-normal (a=0,05):</v>
      </c>
      <c r="AB22" s="288" t="str">
        <f>IF(AB10=0,"n.a",IF(AB23="","n.a",INDEX(StatText,VLOOKUP(AB23,TrueFals,3,FALSE),VLOOKUP(Lang,LangSelect,2,FALSE))))</f>
        <v>Ja</v>
      </c>
      <c r="AC22" s="95"/>
      <c r="AD22" s="170"/>
      <c r="AE22" s="170"/>
      <c r="AF22" s="173"/>
      <c r="AG22" s="173"/>
      <c r="AH22" s="173"/>
      <c r="AI22" s="95"/>
      <c r="AJ22" s="111"/>
      <c r="AK22" s="111"/>
      <c r="AL22" s="111"/>
      <c r="AM22" s="111"/>
      <c r="AN22" s="111"/>
      <c r="AO22" s="111"/>
      <c r="AP22" s="111"/>
      <c r="AQ22" s="111"/>
      <c r="AR22" s="111"/>
      <c r="AS22" s="111"/>
      <c r="AT22" s="160"/>
    </row>
    <row r="23" spans="1:46" x14ac:dyDescent="0.2">
      <c r="A23" s="313">
        <v>12</v>
      </c>
      <c r="B23" s="222" t="str">
        <f>IF(ISNUMBER(DATA!B24),DATA!B24,"")</f>
        <v/>
      </c>
      <c r="C23" s="225" t="str">
        <f>IF(DATA!D24="&lt;",DATA!D24,"")</f>
        <v/>
      </c>
      <c r="D23" s="478" t="str">
        <f t="shared" si="15"/>
        <v/>
      </c>
      <c r="E23" s="313"/>
      <c r="F23" s="159" t="e">
        <f t="shared" si="1"/>
        <v>#N/A</v>
      </c>
      <c r="G23" s="159"/>
      <c r="H23" s="159"/>
      <c r="I23" s="159"/>
      <c r="J23" s="159"/>
      <c r="K23" s="159" t="b">
        <f t="shared" si="5"/>
        <v>0</v>
      </c>
      <c r="L23" s="159" t="b">
        <f t="shared" si="6"/>
        <v>0</v>
      </c>
      <c r="M23" s="159">
        <f t="shared" si="14"/>
        <v>0</v>
      </c>
      <c r="N23" s="159" t="b">
        <f t="shared" si="9"/>
        <v>0</v>
      </c>
      <c r="O23" s="159"/>
      <c r="P23" s="168" t="b">
        <f t="shared" si="7"/>
        <v>0</v>
      </c>
      <c r="Q23" s="159" t="b">
        <f t="shared" si="8"/>
        <v>0</v>
      </c>
      <c r="R23" s="159" t="str">
        <f>IF(ISNUMBER(Beta!I24),Beta!I24,"")</f>
        <v/>
      </c>
      <c r="S23" s="159" t="str">
        <f t="shared" si="10"/>
        <v/>
      </c>
      <c r="T23" s="221" t="str">
        <f t="shared" si="11"/>
        <v/>
      </c>
      <c r="U23" s="169" t="str">
        <f>IF(ISNUMBER(Beta!J24),Beta!J24,"")</f>
        <v/>
      </c>
      <c r="V23" s="207" t="str">
        <f>IF(ISNUMBER(Beta!H24),Beta!H24,"")</f>
        <v/>
      </c>
      <c r="W23" s="207" t="str">
        <f>IF(ISNUMBER(Beta!L24),Beta!L24,"")</f>
        <v/>
      </c>
      <c r="X23" s="207" t="str">
        <f t="shared" si="12"/>
        <v/>
      </c>
      <c r="Y23" s="159" t="e">
        <f t="shared" si="16"/>
        <v>#N/A</v>
      </c>
      <c r="Z23" s="110"/>
      <c r="AA23" s="281"/>
      <c r="AB23" s="289" t="str">
        <f>G402</f>
        <v>Ja</v>
      </c>
      <c r="AC23" s="95">
        <v>51</v>
      </c>
      <c r="AD23" s="170" t="str">
        <f>INDEX(StatText,AC23,VLOOKUP(Lang,LangSelect,2,FALSE))</f>
        <v xml:space="preserve">Antall målinger (n): </v>
      </c>
      <c r="AE23" s="170"/>
      <c r="AF23" s="152">
        <f>IF(AB6&lt;6,"n.a",AB6)</f>
        <v>11</v>
      </c>
      <c r="AG23" s="152"/>
      <c r="AH23" s="152"/>
      <c r="AI23" s="95"/>
      <c r="AJ23" s="111"/>
      <c r="AK23" s="111"/>
      <c r="AL23" s="111"/>
      <c r="AM23" s="111"/>
      <c r="AN23" s="111"/>
      <c r="AO23" s="111"/>
      <c r="AP23" s="111"/>
      <c r="AQ23" s="111"/>
      <c r="AR23" s="111"/>
      <c r="AS23" s="111"/>
      <c r="AT23" s="160"/>
    </row>
    <row r="24" spans="1:46" x14ac:dyDescent="0.2">
      <c r="A24" s="313">
        <v>13</v>
      </c>
      <c r="B24" s="222" t="str">
        <f>IF(ISNUMBER(DATA!B25),DATA!B25,"")</f>
        <v/>
      </c>
      <c r="C24" s="225" t="str">
        <f>IF(DATA!D25="&lt;",DATA!D25,"")</f>
        <v/>
      </c>
      <c r="D24" s="478" t="str">
        <f t="shared" si="15"/>
        <v/>
      </c>
      <c r="E24" s="313"/>
      <c r="F24" s="159" t="e">
        <f t="shared" si="1"/>
        <v>#N/A</v>
      </c>
      <c r="G24" s="159"/>
      <c r="H24" s="159"/>
      <c r="I24" s="159"/>
      <c r="J24" s="159"/>
      <c r="K24" s="159" t="b">
        <f t="shared" si="5"/>
        <v>0</v>
      </c>
      <c r="L24" s="159" t="b">
        <f t="shared" si="6"/>
        <v>0</v>
      </c>
      <c r="M24" s="159">
        <f t="shared" si="14"/>
        <v>0</v>
      </c>
      <c r="N24" s="159" t="b">
        <f t="shared" si="9"/>
        <v>0</v>
      </c>
      <c r="O24" s="159"/>
      <c r="P24" s="168" t="b">
        <f t="shared" si="7"/>
        <v>0</v>
      </c>
      <c r="Q24" s="159" t="b">
        <f t="shared" si="8"/>
        <v>0</v>
      </c>
      <c r="R24" s="159" t="str">
        <f>IF(ISNUMBER(Beta!I25),Beta!I25,"")</f>
        <v/>
      </c>
      <c r="S24" s="159" t="str">
        <f t="shared" si="10"/>
        <v/>
      </c>
      <c r="T24" s="221" t="str">
        <f t="shared" si="11"/>
        <v/>
      </c>
      <c r="U24" s="169" t="str">
        <f>IF(ISNUMBER(Beta!J25),Beta!J25,"")</f>
        <v/>
      </c>
      <c r="V24" s="207" t="str">
        <f>IF(ISNUMBER(Beta!H25),Beta!H25,"")</f>
        <v/>
      </c>
      <c r="W24" s="207" t="str">
        <f>IF(ISNUMBER(Beta!L25),Beta!L25,"")</f>
        <v/>
      </c>
      <c r="X24" s="207" t="str">
        <f t="shared" si="12"/>
        <v/>
      </c>
      <c r="Y24" s="159" t="e">
        <f t="shared" si="16"/>
        <v>#N/A</v>
      </c>
      <c r="Z24" s="110">
        <v>21</v>
      </c>
      <c r="AA24" s="281" t="str">
        <f>INDEX(StatText,Z24,VLOOKUP(Lang,LangSelect,2,FALSE))</f>
        <v>W-test for normal fordeling:</v>
      </c>
      <c r="AB24" s="287">
        <f>IF(AB10=0,"n.a",E401)</f>
        <v>0.86670374912540538</v>
      </c>
      <c r="AC24" s="95">
        <v>52</v>
      </c>
      <c r="AD24" s="170" t="str">
        <f>INDEX(StatText,AC24,VLOOKUP(Lang,LangSelect,2,FALSE))</f>
        <v>Antall &lt; DG (m):</v>
      </c>
      <c r="AE24" s="170"/>
      <c r="AF24" s="152">
        <f>IF(AB6&lt;6,"n.a",AB7)</f>
        <v>4</v>
      </c>
      <c r="AG24" s="152"/>
      <c r="AH24" s="152"/>
      <c r="AI24" s="95"/>
      <c r="AJ24" s="111"/>
      <c r="AK24" s="111"/>
      <c r="AL24" s="111"/>
      <c r="AM24" s="111"/>
      <c r="AN24" s="111"/>
      <c r="AO24" s="111"/>
      <c r="AP24" s="111"/>
      <c r="AQ24" s="111"/>
      <c r="AR24" s="111"/>
      <c r="AS24" s="111"/>
      <c r="AT24" s="160"/>
    </row>
    <row r="25" spans="1:46" x14ac:dyDescent="0.2">
      <c r="A25" s="313">
        <v>14</v>
      </c>
      <c r="B25" s="222" t="str">
        <f>IF(ISNUMBER(DATA!B26),DATA!B26,"")</f>
        <v/>
      </c>
      <c r="C25" s="225" t="str">
        <f>IF(DATA!D26="&lt;",DATA!D26,"")</f>
        <v/>
      </c>
      <c r="D25" s="478" t="str">
        <f t="shared" si="15"/>
        <v/>
      </c>
      <c r="E25" s="313"/>
      <c r="F25" s="159" t="e">
        <f t="shared" si="1"/>
        <v>#N/A</v>
      </c>
      <c r="G25" s="159"/>
      <c r="H25" s="159"/>
      <c r="I25" s="159"/>
      <c r="J25" s="159"/>
      <c r="K25" s="159" t="b">
        <f t="shared" si="5"/>
        <v>0</v>
      </c>
      <c r="L25" s="159" t="b">
        <f t="shared" si="6"/>
        <v>0</v>
      </c>
      <c r="M25" s="159">
        <f t="shared" si="14"/>
        <v>0</v>
      </c>
      <c r="N25" s="159" t="b">
        <f t="shared" si="9"/>
        <v>0</v>
      </c>
      <c r="O25" s="159"/>
      <c r="P25" s="168" t="b">
        <f t="shared" si="7"/>
        <v>0</v>
      </c>
      <c r="Q25" s="159" t="b">
        <f t="shared" si="8"/>
        <v>0</v>
      </c>
      <c r="R25" s="159" t="str">
        <f>IF(ISNUMBER(Beta!I26),Beta!I26,"")</f>
        <v/>
      </c>
      <c r="S25" s="159" t="str">
        <f t="shared" si="10"/>
        <v/>
      </c>
      <c r="T25" s="221" t="str">
        <f t="shared" si="11"/>
        <v/>
      </c>
      <c r="U25" s="169" t="str">
        <f>IF(ISNUMBER(Beta!J26),Beta!J26,"")</f>
        <v/>
      </c>
      <c r="V25" s="207" t="str">
        <f>IF(ISNUMBER(Beta!H26),Beta!H26,"")</f>
        <v/>
      </c>
      <c r="W25" s="207" t="str">
        <f>IF(ISNUMBER(Beta!L26),Beta!L26,"")</f>
        <v/>
      </c>
      <c r="X25" s="207" t="str">
        <f t="shared" si="12"/>
        <v/>
      </c>
      <c r="Y25" s="159" t="e">
        <f t="shared" si="16"/>
        <v>#N/A</v>
      </c>
      <c r="Z25" s="110">
        <v>22</v>
      </c>
      <c r="AA25" s="351" t="str">
        <f>INDEX(StatText,Z25,VLOOKUP(Lang,LangSelect,2,FALSE))</f>
        <v>Normal (a=0,05):</v>
      </c>
      <c r="AB25" s="352" t="str">
        <f>IF(AB10=0,"n.a",IF(AB26="","n.a",INDEX(StatText,VLOOKUP(AB26,TrueFals,3,FALSE),VLOOKUP(Lang,LangSelect,2,FALSE))))</f>
        <v>Ja</v>
      </c>
      <c r="AC25" s="95">
        <v>53</v>
      </c>
      <c r="AD25" s="170" t="str">
        <f>INDEX(StatText,AC25,VLOOKUP(Lang,LangSelect,2,FALSE))</f>
        <v>Antatt fordeling:</v>
      </c>
      <c r="AE25" s="170"/>
      <c r="AF25" s="170" t="str">
        <f>INDEX(StatText,VLOOKUP(AI25,Conclutions,4,FALSE),VLOOKUP(Lang,LangSelect,2,FALSE))</f>
        <v>Normal</v>
      </c>
      <c r="AG25" s="152"/>
      <c r="AH25" s="154" t="str">
        <f>IF(AND(AB6&gt;5,(AB6-AB7)&lt;3),"A1",IF(AB10=0,"A2",IF(OR(AND(AB23="Nei",AB26="Nei"),AND(AB23="No",AB26="No")),"A2",IF(OR(AB21&gt;=AB24,AB6&lt;10),"A3","A4"))))</f>
        <v>A4</v>
      </c>
      <c r="AI25" s="95" t="str">
        <f>IF(AB6&lt;6,"K4",AH25)</f>
        <v>A4</v>
      </c>
      <c r="AJ25" s="111"/>
      <c r="AK25" s="111"/>
      <c r="AL25" s="111"/>
      <c r="AM25" s="111"/>
      <c r="AN25" s="111"/>
      <c r="AO25" s="111"/>
      <c r="AP25" s="111"/>
      <c r="AQ25" s="111"/>
      <c r="AR25" s="111"/>
      <c r="AS25" s="111"/>
      <c r="AT25" s="160"/>
    </row>
    <row r="26" spans="1:46" x14ac:dyDescent="0.2">
      <c r="A26" s="313">
        <v>15</v>
      </c>
      <c r="B26" s="222" t="str">
        <f>IF(ISNUMBER(DATA!B27),DATA!B27,"")</f>
        <v/>
      </c>
      <c r="C26" s="225" t="str">
        <f>IF(DATA!D27="&lt;",DATA!D27,"")</f>
        <v/>
      </c>
      <c r="D26" s="478" t="str">
        <f t="shared" si="15"/>
        <v/>
      </c>
      <c r="E26" s="313"/>
      <c r="F26" s="159" t="e">
        <f t="shared" si="1"/>
        <v>#N/A</v>
      </c>
      <c r="G26" s="159"/>
      <c r="H26" s="159"/>
      <c r="I26" s="159"/>
      <c r="J26" s="159"/>
      <c r="K26" s="159" t="b">
        <f t="shared" si="5"/>
        <v>0</v>
      </c>
      <c r="L26" s="159" t="b">
        <f t="shared" si="6"/>
        <v>0</v>
      </c>
      <c r="M26" s="159">
        <f t="shared" si="14"/>
        <v>0</v>
      </c>
      <c r="N26" s="159" t="b">
        <f t="shared" si="9"/>
        <v>0</v>
      </c>
      <c r="O26" s="159"/>
      <c r="P26" s="168" t="b">
        <f t="shared" si="7"/>
        <v>0</v>
      </c>
      <c r="Q26" s="159" t="b">
        <f t="shared" si="8"/>
        <v>0</v>
      </c>
      <c r="R26" s="159" t="str">
        <f>IF(ISNUMBER(Beta!I27),Beta!I27,"")</f>
        <v/>
      </c>
      <c r="S26" s="159" t="str">
        <f t="shared" si="10"/>
        <v/>
      </c>
      <c r="T26" s="221" t="str">
        <f t="shared" si="11"/>
        <v/>
      </c>
      <c r="U26" s="169" t="str">
        <f>IF(ISNUMBER(Beta!J27),Beta!J27,"")</f>
        <v/>
      </c>
      <c r="V26" s="207" t="str">
        <f>IF(ISNUMBER(Beta!H27),Beta!H27,"")</f>
        <v/>
      </c>
      <c r="W26" s="207" t="str">
        <f>IF(ISNUMBER(Beta!L27),Beta!L27,"")</f>
        <v/>
      </c>
      <c r="X26" s="207" t="str">
        <f t="shared" si="12"/>
        <v/>
      </c>
      <c r="Y26" s="159" t="e">
        <f t="shared" si="16"/>
        <v>#N/A</v>
      </c>
      <c r="Z26" s="110"/>
      <c r="AA26" s="297"/>
      <c r="AB26" s="200" t="str">
        <f>G401</f>
        <v>Ja</v>
      </c>
      <c r="AC26" s="95">
        <v>54</v>
      </c>
      <c r="AD26" s="170" t="str">
        <f>INDEX(StatText,AC26,VLOOKUP(Lang,LangSelect,2,FALSE))</f>
        <v>Estimert Øvre Konsentrasjon - U_T (EØK 95%,70%):</v>
      </c>
      <c r="AE26" s="170"/>
      <c r="AF26" s="174">
        <f>IF(OR(AB10=0,AB6&lt;6),"n.a",IF(OR(AND(AB23="Nei",AB26="Nei"),N-M&lt;2),"n.a",IF(OR(AB21&gt;=AB24,AB6&lt;11),AB34,AB41)))</f>
        <v>3.4755244661796775E-2</v>
      </c>
      <c r="AG26" s="152"/>
      <c r="AH26" s="152"/>
      <c r="AI26" s="95"/>
      <c r="AJ26" s="111"/>
      <c r="AK26" s="111"/>
      <c r="AL26" s="111"/>
      <c r="AM26" s="111"/>
      <c r="AN26" s="111"/>
      <c r="AO26" s="111"/>
      <c r="AP26" s="111"/>
      <c r="AQ26" s="111"/>
      <c r="AR26" s="111"/>
      <c r="AS26" s="111"/>
      <c r="AT26" s="160"/>
    </row>
    <row r="27" spans="1:46" ht="17" customHeight="1" x14ac:dyDescent="0.2">
      <c r="A27" s="313">
        <v>16</v>
      </c>
      <c r="B27" s="222" t="str">
        <f>IF(ISNUMBER(DATA!B28),DATA!B28,"")</f>
        <v/>
      </c>
      <c r="C27" s="225" t="str">
        <f>IF(DATA!D28="&lt;",DATA!D28,"")</f>
        <v/>
      </c>
      <c r="D27" s="478" t="str">
        <f t="shared" si="15"/>
        <v/>
      </c>
      <c r="E27" s="363"/>
      <c r="F27" s="159" t="e">
        <f t="shared" si="1"/>
        <v>#N/A</v>
      </c>
      <c r="G27" s="159"/>
      <c r="H27" s="159"/>
      <c r="I27" s="159"/>
      <c r="J27" s="159"/>
      <c r="K27" s="159" t="b">
        <f t="shared" si="5"/>
        <v>0</v>
      </c>
      <c r="L27" s="159" t="b">
        <f t="shared" si="6"/>
        <v>0</v>
      </c>
      <c r="M27" s="159">
        <f t="shared" si="14"/>
        <v>0</v>
      </c>
      <c r="N27" s="159" t="b">
        <f t="shared" si="9"/>
        <v>0</v>
      </c>
      <c r="O27" s="159"/>
      <c r="P27" s="168" t="b">
        <f t="shared" si="7"/>
        <v>0</v>
      </c>
      <c r="Q27" s="159" t="b">
        <f t="shared" si="8"/>
        <v>0</v>
      </c>
      <c r="R27" s="159" t="str">
        <f>IF(ISNUMBER(Beta!I28),Beta!I28,"")</f>
        <v/>
      </c>
      <c r="S27" s="159" t="str">
        <f t="shared" si="10"/>
        <v/>
      </c>
      <c r="T27" s="221" t="str">
        <f t="shared" si="11"/>
        <v/>
      </c>
      <c r="U27" s="169" t="str">
        <f>IF(ISNUMBER(Beta!J28),Beta!J28,"")</f>
        <v/>
      </c>
      <c r="V27" s="207" t="str">
        <f>IF(ISNUMBER(Beta!H28),Beta!H28,"")</f>
        <v/>
      </c>
      <c r="W27" s="207" t="str">
        <f>IF(ISNUMBER(Beta!L28),Beta!L28,"")</f>
        <v/>
      </c>
      <c r="X27" s="207" t="str">
        <f t="shared" si="12"/>
        <v/>
      </c>
      <c r="Y27" s="159" t="e">
        <f t="shared" si="16"/>
        <v>#N/A</v>
      </c>
      <c r="Z27" s="110">
        <v>63</v>
      </c>
      <c r="AA27" s="461" t="str">
        <f>INDEX(StatText,Z27,VLOOKUP(Lang,LangSelect,2,FALSE))</f>
        <v>Om "POPULASJONEN" av eksponering:
(For verdier under deteksjonsgrensen (DG) er valgt metode benyttet.)</v>
      </c>
      <c r="AB27" s="462"/>
      <c r="AC27" s="95"/>
      <c r="AD27" s="331" t="str">
        <f>INDEX(StatText,AC28,VLOOKUP(Lang,LangSelect,2,FALSE))</f>
        <v xml:space="preserve">Veiledende konklusjon: </v>
      </c>
      <c r="AE27" s="331"/>
      <c r="AF27" s="453" t="str">
        <f>IF(AB6&lt;6,"n.a",IF(OR(AB10=0,N-M&lt;2),INDEX(DataText,51,VLOOKUP(Lang,LangSelect,2,FALSE)),INDEX(StatText,VLOOKUP(AF29,Conclutions,4,FALSE),VLOOKUP(Lang,LangSelect,2,FALSE))))</f>
        <v>Eksponeringen kan trolig ansees som akseptabel.</v>
      </c>
      <c r="AG27" s="453"/>
      <c r="AH27" s="453"/>
      <c r="AI27" s="95"/>
      <c r="AJ27" s="111"/>
      <c r="AK27" s="111"/>
      <c r="AL27" s="111"/>
      <c r="AM27" s="111"/>
      <c r="AN27" s="111"/>
      <c r="AO27" s="111"/>
      <c r="AP27" s="95"/>
      <c r="AQ27" s="95"/>
      <c r="AR27" s="95"/>
      <c r="AS27" s="95"/>
      <c r="AT27" s="160"/>
    </row>
    <row r="28" spans="1:46" ht="15" customHeight="1" x14ac:dyDescent="0.2">
      <c r="A28" s="313">
        <v>17</v>
      </c>
      <c r="B28" s="222" t="str">
        <f>IF(ISNUMBER(DATA!B29),DATA!B29,"")</f>
        <v/>
      </c>
      <c r="C28" s="225" t="str">
        <f>IF(DATA!D29="&lt;",DATA!D29,"")</f>
        <v/>
      </c>
      <c r="D28" s="478" t="str">
        <f t="shared" si="15"/>
        <v/>
      </c>
      <c r="E28" s="363"/>
      <c r="F28" s="159" t="e">
        <f t="shared" si="1"/>
        <v>#N/A</v>
      </c>
      <c r="G28" s="159"/>
      <c r="H28" s="159"/>
      <c r="I28" s="159"/>
      <c r="J28" s="159"/>
      <c r="K28" s="159" t="b">
        <f t="shared" si="5"/>
        <v>0</v>
      </c>
      <c r="L28" s="159" t="b">
        <f t="shared" si="6"/>
        <v>0</v>
      </c>
      <c r="M28" s="159">
        <f t="shared" si="14"/>
        <v>0</v>
      </c>
      <c r="N28" s="159" t="b">
        <f t="shared" si="9"/>
        <v>0</v>
      </c>
      <c r="O28" s="159"/>
      <c r="P28" s="168" t="b">
        <f t="shared" si="7"/>
        <v>0</v>
      </c>
      <c r="Q28" s="159" t="b">
        <f t="shared" si="8"/>
        <v>0</v>
      </c>
      <c r="R28" s="159" t="str">
        <f>IF(ISNUMBER(Beta!I29),Beta!I29,"")</f>
        <v/>
      </c>
      <c r="S28" s="159" t="str">
        <f t="shared" si="10"/>
        <v/>
      </c>
      <c r="T28" s="221" t="str">
        <f t="shared" si="11"/>
        <v/>
      </c>
      <c r="U28" s="169" t="str">
        <f>IF(ISNUMBER(Beta!J29),Beta!J29,"")</f>
        <v/>
      </c>
      <c r="V28" s="207" t="str">
        <f>IF(ISNUMBER(Beta!H29),Beta!H29,"")</f>
        <v/>
      </c>
      <c r="W28" s="207" t="str">
        <f>IF(ISNUMBER(Beta!L29),Beta!L29,"")</f>
        <v/>
      </c>
      <c r="X28" s="207" t="str">
        <f t="shared" si="12"/>
        <v/>
      </c>
      <c r="Y28" s="159" t="e">
        <f t="shared" si="16"/>
        <v>#N/A</v>
      </c>
      <c r="Z28" s="110"/>
      <c r="AA28" s="463"/>
      <c r="AB28" s="464"/>
      <c r="AC28" s="95">
        <v>55</v>
      </c>
      <c r="AD28" s="332"/>
      <c r="AE28" s="332"/>
      <c r="AF28" s="454"/>
      <c r="AG28" s="454"/>
      <c r="AH28" s="454"/>
      <c r="AI28" s="95">
        <v>67</v>
      </c>
      <c r="AJ28" s="176" t="str">
        <f>INDEX(StatText,AI28,VLOOKUP(Lang,LangSelect,2,FALSE))</f>
        <v xml:space="preserve">PERIODISK OVERVÅKING </v>
      </c>
      <c r="AK28" s="138"/>
      <c r="AL28" s="138"/>
      <c r="AM28" s="138"/>
      <c r="AN28" s="138"/>
      <c r="AO28" s="111"/>
      <c r="AP28" s="95"/>
      <c r="AQ28" s="95"/>
      <c r="AR28" s="95"/>
      <c r="AS28" s="95"/>
      <c r="AT28" s="77"/>
    </row>
    <row r="29" spans="1:46" x14ac:dyDescent="0.2">
      <c r="A29" s="313">
        <v>18</v>
      </c>
      <c r="B29" s="222" t="str">
        <f>IF(ISNUMBER(DATA!B30),DATA!B30,"")</f>
        <v/>
      </c>
      <c r="C29" s="225" t="str">
        <f>IF(DATA!D30="&lt;",DATA!D30,"")</f>
        <v/>
      </c>
      <c r="D29" s="478" t="str">
        <f t="shared" si="15"/>
        <v/>
      </c>
      <c r="E29" s="313"/>
      <c r="F29" s="159" t="e">
        <f t="shared" si="1"/>
        <v>#N/A</v>
      </c>
      <c r="G29" s="159"/>
      <c r="H29" s="159"/>
      <c r="I29" s="159"/>
      <c r="J29" s="159"/>
      <c r="K29" s="159" t="b">
        <f t="shared" ref="K29:K48" si="17">IF(ISNUMBER(Q134),Q134)</f>
        <v>0</v>
      </c>
      <c r="L29" s="159" t="b">
        <f t="shared" si="6"/>
        <v>0</v>
      </c>
      <c r="M29" s="159">
        <f t="shared" si="14"/>
        <v>0</v>
      </c>
      <c r="N29" s="159" t="b">
        <f t="shared" si="9"/>
        <v>0</v>
      </c>
      <c r="O29" s="159"/>
      <c r="P29" s="168" t="b">
        <f t="shared" si="7"/>
        <v>0</v>
      </c>
      <c r="Q29" s="159" t="b">
        <f t="shared" si="8"/>
        <v>0</v>
      </c>
      <c r="R29" s="159" t="str">
        <f>IF(ISNUMBER(Beta!I30),Beta!I30,"")</f>
        <v/>
      </c>
      <c r="S29" s="159" t="str">
        <f t="shared" si="10"/>
        <v/>
      </c>
      <c r="T29" s="221" t="str">
        <f t="shared" si="11"/>
        <v/>
      </c>
      <c r="U29" s="169" t="str">
        <f>IF(ISNUMBER(Beta!J30),Beta!J30,"")</f>
        <v/>
      </c>
      <c r="V29" s="207" t="str">
        <f>IF(ISNUMBER(Beta!H30),Beta!H30,"")</f>
        <v/>
      </c>
      <c r="W29" s="207" t="str">
        <f>IF(ISNUMBER(Beta!L30),Beta!L30,"")</f>
        <v/>
      </c>
      <c r="X29" s="207" t="str">
        <f t="shared" si="12"/>
        <v/>
      </c>
      <c r="Y29" s="159" t="e">
        <f t="shared" si="16"/>
        <v>#N/A</v>
      </c>
      <c r="Z29" s="110"/>
      <c r="AA29" s="366"/>
      <c r="AB29" s="367"/>
      <c r="AC29" s="95"/>
      <c r="AD29" s="111"/>
      <c r="AE29" s="111"/>
      <c r="AF29" s="95" t="str">
        <f>IF(AB6&lt;6,"n.a",IF(AB8&gt;=GV,"K11",IF(AND(AB23="Nei",AB26="Nei"),"K12",IF(AND(AF23&gt;5),IF(AF26&gt;=GV,"K13","K14"),"K15"))))</f>
        <v>K14</v>
      </c>
      <c r="AG29" s="175"/>
      <c r="AH29" s="175"/>
      <c r="AI29" s="95">
        <v>68</v>
      </c>
      <c r="AJ29" s="183" t="str">
        <f>INDEX(StatText,AI29,VLOOKUP(Lang,LangSelect,2,FALSE))</f>
        <v>Antall målinger:</v>
      </c>
      <c r="AK29" s="111"/>
      <c r="AL29" s="111"/>
      <c r="AM29" s="111"/>
      <c r="AN29" s="111"/>
      <c r="AO29" s="111"/>
      <c r="AP29" s="95"/>
      <c r="AQ29" s="95"/>
      <c r="AR29" s="95"/>
      <c r="AS29" s="95"/>
      <c r="AT29" s="77"/>
    </row>
    <row r="30" spans="1:46" ht="15" x14ac:dyDescent="0.2">
      <c r="A30" s="313">
        <v>19</v>
      </c>
      <c r="B30" s="222" t="str">
        <f>IF(ISNUMBER(DATA!B31),DATA!B31,"")</f>
        <v/>
      </c>
      <c r="C30" s="225" t="str">
        <f>IF(DATA!D31="&lt;",DATA!D31,"")</f>
        <v/>
      </c>
      <c r="D30" s="478" t="str">
        <f t="shared" si="15"/>
        <v/>
      </c>
      <c r="E30" s="313"/>
      <c r="F30" s="159" t="e">
        <f t="shared" si="1"/>
        <v>#N/A</v>
      </c>
      <c r="G30" s="159"/>
      <c r="H30" s="159"/>
      <c r="I30" s="159"/>
      <c r="J30" s="159"/>
      <c r="K30" s="159" t="b">
        <f t="shared" si="17"/>
        <v>0</v>
      </c>
      <c r="L30" s="159" t="b">
        <f t="shared" si="6"/>
        <v>0</v>
      </c>
      <c r="M30" s="159">
        <f t="shared" si="14"/>
        <v>0</v>
      </c>
      <c r="N30" s="159" t="b">
        <f t="shared" si="9"/>
        <v>0</v>
      </c>
      <c r="O30" s="159"/>
      <c r="P30" s="168" t="b">
        <f t="shared" si="7"/>
        <v>0</v>
      </c>
      <c r="Q30" s="159" t="b">
        <f t="shared" si="8"/>
        <v>0</v>
      </c>
      <c r="R30" s="159" t="str">
        <f>IF(ISNUMBER(Beta!I31),Beta!I31,"")</f>
        <v/>
      </c>
      <c r="S30" s="159" t="str">
        <f t="shared" si="10"/>
        <v/>
      </c>
      <c r="T30" s="221" t="str">
        <f t="shared" si="11"/>
        <v/>
      </c>
      <c r="U30" s="169" t="str">
        <f>IF(ISNUMBER(Beta!J31),Beta!J31,"")</f>
        <v/>
      </c>
      <c r="V30" s="207" t="str">
        <f>IF(ISNUMBER(Beta!H31),Beta!H31,"")</f>
        <v/>
      </c>
      <c r="W30" s="207" t="str">
        <f>IF(ISNUMBER(Beta!L31),Beta!L31,"")</f>
        <v/>
      </c>
      <c r="X30" s="207" t="str">
        <f t="shared" si="12"/>
        <v/>
      </c>
      <c r="Y30" s="159" t="e">
        <f t="shared" si="16"/>
        <v>#N/A</v>
      </c>
      <c r="Z30" s="353">
        <v>23</v>
      </c>
      <c r="AA30" s="358" t="str">
        <f>INDEX(StatText,Z30,VLOOKUP(Lang,LangSelect,2,FALSE))</f>
        <v>LOG-NORMAL FORDELING - STATISTIKK</v>
      </c>
      <c r="AB30" s="361"/>
      <c r="AC30" s="360">
        <v>56</v>
      </c>
      <c r="AD30" s="176" t="str">
        <f>INDEX(StatText,AC30,VLOOKUP(Lang,LangSelect,2,FALSE))</f>
        <v>Regler for håndtering av verdier under deteksjonsgrensen (DG):</v>
      </c>
      <c r="AE30" s="177"/>
      <c r="AF30" s="177"/>
      <c r="AG30" s="177"/>
      <c r="AH30" s="178"/>
      <c r="AI30" s="95">
        <v>69</v>
      </c>
      <c r="AJ30" s="183" t="str">
        <f>INDEX(StatText,AI30,VLOOKUP(Lang,LangSelect,2,FALSE))</f>
        <v>n&lt;3 og detaljert kartlegging nødvendig -&gt; fullfør kartleggingen innen 6 mnd.</v>
      </c>
      <c r="AK30" s="111"/>
      <c r="AL30" s="111"/>
      <c r="AM30" s="111"/>
      <c r="AN30" s="111"/>
      <c r="AO30" s="111"/>
      <c r="AP30" s="95"/>
      <c r="AQ30" s="95">
        <f>ROUND(IF(AB21&gt;AB24,EXP(LN(AB34)-LN(GV)),AB41/GV),2)</f>
        <v>0.57999999999999996</v>
      </c>
      <c r="AR30" s="95"/>
      <c r="AS30" s="95"/>
      <c r="AT30" s="77"/>
    </row>
    <row r="31" spans="1:46" ht="14" customHeight="1" x14ac:dyDescent="0.2">
      <c r="A31" s="313">
        <v>20</v>
      </c>
      <c r="B31" s="222" t="str">
        <f>IF(ISNUMBER(DATA!B32),DATA!B32,"")</f>
        <v/>
      </c>
      <c r="C31" s="225" t="str">
        <f>IF(DATA!D32="&lt;",DATA!D32,"")</f>
        <v/>
      </c>
      <c r="D31" s="478" t="str">
        <f t="shared" si="15"/>
        <v/>
      </c>
      <c r="E31" s="363"/>
      <c r="F31" s="159" t="e">
        <f t="shared" si="1"/>
        <v>#N/A</v>
      </c>
      <c r="G31" s="159"/>
      <c r="H31" s="159"/>
      <c r="I31" s="159"/>
      <c r="J31" s="159"/>
      <c r="K31" s="159" t="b">
        <f t="shared" si="17"/>
        <v>0</v>
      </c>
      <c r="L31" s="159" t="b">
        <f t="shared" si="6"/>
        <v>0</v>
      </c>
      <c r="M31" s="159">
        <f t="shared" si="14"/>
        <v>0</v>
      </c>
      <c r="N31" s="159" t="b">
        <f t="shared" si="9"/>
        <v>0</v>
      </c>
      <c r="O31" s="159"/>
      <c r="P31" s="168" t="b">
        <f t="shared" si="7"/>
        <v>0</v>
      </c>
      <c r="Q31" s="159" t="b">
        <f t="shared" si="8"/>
        <v>0</v>
      </c>
      <c r="R31" s="159" t="str">
        <f>IF(ISNUMBER(Beta!I32),Beta!I32,"")</f>
        <v/>
      </c>
      <c r="S31" s="159" t="str">
        <f t="shared" si="10"/>
        <v/>
      </c>
      <c r="T31" s="221" t="str">
        <f t="shared" si="11"/>
        <v/>
      </c>
      <c r="U31" s="169" t="str">
        <f>IF(ISNUMBER(Beta!J32),Beta!J32,"")</f>
        <v/>
      </c>
      <c r="V31" s="207" t="str">
        <f>IF(ISNUMBER(Beta!H32),Beta!H32,"")</f>
        <v/>
      </c>
      <c r="W31" s="207" t="str">
        <f>IF(ISNUMBER(Beta!L32),Beta!L32,"")</f>
        <v/>
      </c>
      <c r="X31" s="207" t="str">
        <f t="shared" si="12"/>
        <v/>
      </c>
      <c r="Y31" s="159" t="e">
        <f t="shared" si="16"/>
        <v>#N/A</v>
      </c>
      <c r="Z31" s="353">
        <v>24</v>
      </c>
      <c r="AA31" s="368" t="str">
        <f>INDEX(StatText,Z31,VLOOKUP(Lang,LangSelect,2,FALSE))</f>
        <v>Estimert Aritmetisk Middelverdi (MVUE):</v>
      </c>
      <c r="AB31" s="403">
        <f>IF(OR(AB10=0,N-M&lt;2),"n.a",AE137)</f>
        <v>1.7365684833218993E-2</v>
      </c>
      <c r="AC31" s="360"/>
      <c r="AD31" s="179"/>
      <c r="AE31" s="180"/>
      <c r="AF31" s="180"/>
      <c r="AG31" s="181"/>
      <c r="AH31" s="182"/>
      <c r="AI31" s="95">
        <v>70</v>
      </c>
      <c r="AJ31" s="183" t="str">
        <f>INDEX(StatText,AI31,VLOOKUP(Lang,LangSelect,2,FALSE))</f>
        <v>n&gt;5 og J &lt; 0,2: Vurder eksponeringen og om periodisk måling er nødvendig.</v>
      </c>
      <c r="AK31" s="111"/>
      <c r="AL31" s="111"/>
      <c r="AM31" s="111"/>
      <c r="AN31" s="111"/>
      <c r="AO31" s="111"/>
      <c r="AP31" s="95"/>
      <c r="AQ31" s="193"/>
      <c r="AR31" s="193"/>
      <c r="AS31" s="193"/>
      <c r="AT31" s="77"/>
    </row>
    <row r="32" spans="1:46" ht="14" customHeight="1" x14ac:dyDescent="0.2">
      <c r="A32" s="313">
        <v>21</v>
      </c>
      <c r="B32" s="222" t="str">
        <f>IF(ISNUMBER(DATA!B33),DATA!B33,"")</f>
        <v/>
      </c>
      <c r="C32" s="225" t="str">
        <f>IF(DATA!D33="&lt;",DATA!D33,"")</f>
        <v/>
      </c>
      <c r="D32" s="478" t="str">
        <f t="shared" si="15"/>
        <v/>
      </c>
      <c r="E32" s="363"/>
      <c r="F32" s="159" t="e">
        <f t="shared" si="1"/>
        <v>#N/A</v>
      </c>
      <c r="G32" s="159"/>
      <c r="H32" s="159"/>
      <c r="I32" s="159"/>
      <c r="J32" s="159"/>
      <c r="K32" s="159" t="b">
        <f t="shared" si="17"/>
        <v>0</v>
      </c>
      <c r="L32" s="159" t="b">
        <f t="shared" si="6"/>
        <v>0</v>
      </c>
      <c r="M32" s="159">
        <f t="shared" si="14"/>
        <v>0</v>
      </c>
      <c r="N32" s="159" t="b">
        <f t="shared" si="9"/>
        <v>0</v>
      </c>
      <c r="O32" s="159"/>
      <c r="P32" s="168" t="b">
        <f t="shared" si="7"/>
        <v>0</v>
      </c>
      <c r="Q32" s="159" t="b">
        <f t="shared" si="8"/>
        <v>0</v>
      </c>
      <c r="R32" s="159" t="str">
        <f>IF(ISNUMBER(Beta!I33),Beta!I33,"")</f>
        <v/>
      </c>
      <c r="S32" s="159" t="str">
        <f t="shared" si="10"/>
        <v/>
      </c>
      <c r="T32" s="221" t="str">
        <f t="shared" si="11"/>
        <v/>
      </c>
      <c r="U32" s="169" t="str">
        <f>IF(ISNUMBER(Beta!J33),Beta!J33,"")</f>
        <v/>
      </c>
      <c r="V32" s="207" t="str">
        <f>IF(ISNUMBER(Beta!H33),Beta!H33,"")</f>
        <v/>
      </c>
      <c r="W32" s="207" t="str">
        <f>IF(ISNUMBER(Beta!L33),Beta!L33,"")</f>
        <v/>
      </c>
      <c r="X32" s="207" t="str">
        <f t="shared" si="12"/>
        <v/>
      </c>
      <c r="Y32" s="159" t="e">
        <f t="shared" si="16"/>
        <v>#N/A</v>
      </c>
      <c r="Z32" s="353">
        <v>25</v>
      </c>
      <c r="AA32" s="368" t="str">
        <f>INDEX(StatText,Z33,VLOOKUP(Lang,LangSelect,2,FALSE))</f>
        <v>Estimert Aritmetisk Middelverdi:</v>
      </c>
      <c r="AB32" s="404">
        <f>IF(OR(AB10=0,N-M&lt;2),"n.a",EXP(AVERAGE(N9:N59)+0.5*STDEV(N9:N59)^2))</f>
        <v>1.2837349707917592E-2</v>
      </c>
      <c r="AC32" s="95">
        <v>57</v>
      </c>
      <c r="AD32" s="183" t="str">
        <f>INDEX(StatText,AC32,VLOOKUP(Lang,LangSelect,2,FALSE))</f>
        <v xml:space="preserve">For antall målinger over deteksjonsgrensen (k): </v>
      </c>
      <c r="AE32" s="184"/>
      <c r="AF32" s="184"/>
      <c r="AG32" s="184"/>
      <c r="AH32" s="185"/>
      <c r="AI32" s="95"/>
      <c r="AJ32" s="183"/>
      <c r="AK32" s="111"/>
      <c r="AL32" s="111"/>
      <c r="AM32" s="111"/>
      <c r="AN32" s="111"/>
      <c r="AO32" s="111"/>
      <c r="AP32" s="95"/>
      <c r="AQ32" s="193"/>
      <c r="AR32" s="193"/>
      <c r="AS32" s="193"/>
      <c r="AT32" s="77"/>
    </row>
    <row r="33" spans="1:46" x14ac:dyDescent="0.2">
      <c r="A33" s="313">
        <v>22</v>
      </c>
      <c r="B33" s="222" t="str">
        <f>IF(ISNUMBER(DATA!B34),DATA!B34,"")</f>
        <v/>
      </c>
      <c r="C33" s="225" t="str">
        <f>IF(DATA!D34="&lt;",DATA!D34,"")</f>
        <v/>
      </c>
      <c r="D33" s="478" t="str">
        <f t="shared" si="15"/>
        <v/>
      </c>
      <c r="E33" s="313"/>
      <c r="F33" s="159" t="e">
        <f t="shared" si="1"/>
        <v>#N/A</v>
      </c>
      <c r="G33" s="159"/>
      <c r="H33" s="159"/>
      <c r="I33" s="159"/>
      <c r="J33" s="159"/>
      <c r="K33" s="159" t="b">
        <f t="shared" si="17"/>
        <v>0</v>
      </c>
      <c r="L33" s="159" t="b">
        <f t="shared" si="6"/>
        <v>0</v>
      </c>
      <c r="M33" s="159">
        <f t="shared" si="14"/>
        <v>0</v>
      </c>
      <c r="N33" s="159" t="b">
        <f t="shared" si="9"/>
        <v>0</v>
      </c>
      <c r="O33" s="159"/>
      <c r="P33" s="168" t="b">
        <f t="shared" si="7"/>
        <v>0</v>
      </c>
      <c r="Q33" s="159" t="b">
        <f t="shared" si="8"/>
        <v>0</v>
      </c>
      <c r="R33" s="159" t="str">
        <f>IF(ISNUMBER(Beta!I34),Beta!I34,"")</f>
        <v/>
      </c>
      <c r="S33" s="159" t="str">
        <f t="shared" si="10"/>
        <v/>
      </c>
      <c r="T33" s="221" t="str">
        <f t="shared" si="11"/>
        <v/>
      </c>
      <c r="U33" s="169" t="str">
        <f>IF(ISNUMBER(Beta!J34),Beta!J34,"")</f>
        <v/>
      </c>
      <c r="V33" s="207" t="str">
        <f>IF(ISNUMBER(Beta!H34),Beta!H34,"")</f>
        <v/>
      </c>
      <c r="W33" s="207" t="str">
        <f>IF(ISNUMBER(Beta!L34),Beta!L34,"")</f>
        <v/>
      </c>
      <c r="X33" s="207" t="str">
        <f t="shared" si="12"/>
        <v/>
      </c>
      <c r="Y33" s="159" t="e">
        <f t="shared" si="16"/>
        <v>#N/A</v>
      </c>
      <c r="Z33" s="186">
        <v>33</v>
      </c>
      <c r="AA33" s="369" t="str">
        <f>INDEX(StatText,Z32,VLOOKUP(Lang,LangSelect,2,FALSE))</f>
        <v>95%il (estimat -z):</v>
      </c>
      <c r="AB33" s="403">
        <f>IF(OR(AB10=0,N-M&lt;2),"n.a",EXP(AVERAGE(N9:N59)+STDEV(N9:N59)*1.645))</f>
        <v>3.6432931289839848E-2</v>
      </c>
      <c r="AC33" s="360">
        <v>58</v>
      </c>
      <c r="AD33" s="183" t="str">
        <f>INDEX(StatText,AC33,VLOOKUP(Lang,LangSelect,2,FALSE))</f>
        <v>- n&lt;3, k&lt;=2: Deteksjonsgrensen (DG) benyttes.</v>
      </c>
      <c r="AE33" s="184"/>
      <c r="AF33" s="184"/>
      <c r="AG33" s="184"/>
      <c r="AH33" s="185"/>
      <c r="AI33" s="95">
        <v>71</v>
      </c>
      <c r="AJ33" s="183" t="str">
        <f>INDEX(StatText,AI33,VLOOKUP(Lang,LangSelect,2,FALSE))</f>
        <v xml:space="preserve">Statistisk vurdering Alt 3 Annex I NS-EN 689: </v>
      </c>
      <c r="AK33" s="111"/>
      <c r="AL33" s="111"/>
      <c r="AM33" s="183" t="str">
        <f>INDEX(StatText,AP33,VLOOKUP(Lang,LangSelect,2,FALSE))</f>
        <v>J &lt; 0,20 -&gt; Vurder behov for periodisk måling</v>
      </c>
      <c r="AN33" s="111"/>
      <c r="AO33" s="111"/>
      <c r="AP33" s="95">
        <v>74</v>
      </c>
      <c r="AQ33" s="193">
        <v>0.2</v>
      </c>
      <c r="AR33" s="193" t="str">
        <f>INDEX(StatText,AT33,VLOOKUP(Lang,LangSelect,2,FALSE))</f>
        <v>Vurder om nødvendig</v>
      </c>
      <c r="AS33" s="193"/>
      <c r="AT33" s="77">
        <v>79</v>
      </c>
    </row>
    <row r="34" spans="1:46" ht="14" customHeight="1" x14ac:dyDescent="0.2">
      <c r="A34" s="313">
        <v>23</v>
      </c>
      <c r="B34" s="222" t="str">
        <f>IF(ISNUMBER(DATA!B35),DATA!B35,"")</f>
        <v/>
      </c>
      <c r="C34" s="225" t="str">
        <f>IF(DATA!D35="&lt;",DATA!D35,"")</f>
        <v/>
      </c>
      <c r="D34" s="478" t="str">
        <f t="shared" si="15"/>
        <v/>
      </c>
      <c r="E34" s="363"/>
      <c r="F34" s="159" t="e">
        <f t="shared" si="1"/>
        <v>#N/A</v>
      </c>
      <c r="G34" s="159"/>
      <c r="H34" s="159"/>
      <c r="I34" s="159"/>
      <c r="J34" s="159"/>
      <c r="K34" s="159" t="b">
        <f t="shared" si="17"/>
        <v>0</v>
      </c>
      <c r="L34" s="159" t="b">
        <f t="shared" si="6"/>
        <v>0</v>
      </c>
      <c r="M34" s="159">
        <f t="shared" si="14"/>
        <v>0</v>
      </c>
      <c r="N34" s="159" t="b">
        <f t="shared" si="9"/>
        <v>0</v>
      </c>
      <c r="O34" s="159"/>
      <c r="P34" s="168" t="b">
        <f t="shared" si="7"/>
        <v>0</v>
      </c>
      <c r="Q34" s="159" t="b">
        <f t="shared" si="8"/>
        <v>0</v>
      </c>
      <c r="R34" s="159" t="str">
        <f>IF(ISNUMBER(Beta!I35),Beta!I35,"")</f>
        <v/>
      </c>
      <c r="S34" s="159" t="str">
        <f t="shared" si="10"/>
        <v/>
      </c>
      <c r="T34" s="221" t="str">
        <f t="shared" si="11"/>
        <v/>
      </c>
      <c r="U34" s="169" t="str">
        <f>IF(ISNUMBER(Beta!J35),Beta!J35,"")</f>
        <v/>
      </c>
      <c r="V34" s="207" t="str">
        <f>IF(ISNUMBER(Beta!H35),Beta!H35,"")</f>
        <v/>
      </c>
      <c r="W34" s="207" t="str">
        <f>IF(ISNUMBER(Beta!L35),Beta!L35,"")</f>
        <v/>
      </c>
      <c r="X34" s="207" t="str">
        <f t="shared" si="12"/>
        <v/>
      </c>
      <c r="Y34" s="159" t="e">
        <f t="shared" si="16"/>
        <v>#N/A</v>
      </c>
      <c r="Z34" s="186">
        <v>26</v>
      </c>
      <c r="AA34" s="370" t="str">
        <f>INDEX(StatText,Z34,VLOOKUP(Lang,LangSelect,2,FALSE))</f>
        <v>Estimert Øvre Konsentrasjon - U_T (EØK 95%,70%):</v>
      </c>
      <c r="AB34" s="405">
        <f>IF(OR(AB10=0,N-M&lt;2),"n.a",AM127)</f>
        <v>8.6698299317882491E-2</v>
      </c>
      <c r="AC34" s="360">
        <v>59</v>
      </c>
      <c r="AD34" s="183" t="str">
        <f>INDEX(StatText,AC34,VLOOKUP(Lang,LangSelect,2,FALSE))</f>
        <v>- n&gt;=3, k&gt;2: Beta metoden benyttes (ref Ganser and Hewett 2010)</v>
      </c>
      <c r="AE34" s="184"/>
      <c r="AF34" s="184"/>
      <c r="AG34" s="184"/>
      <c r="AH34" s="185"/>
      <c r="AI34" s="95">
        <v>72</v>
      </c>
      <c r="AJ34" s="183" t="str">
        <f>INDEX(StatText,AI34,VLOOKUP(Lang,LangSelect,2,FALSE))</f>
        <v xml:space="preserve">Periodisk måling etter (intervall i EN 689 i ()): </v>
      </c>
      <c r="AK34" s="132"/>
      <c r="AL34" s="111"/>
      <c r="AM34" s="183" t="str">
        <f>INDEX(StatText,AP34,VLOOKUP(Lang,LangSelect,2,FALSE))</f>
        <v>J &lt; 0,25 -&gt; 36 mnd</v>
      </c>
      <c r="AN34" s="111"/>
      <c r="AO34" s="111"/>
      <c r="AP34" s="95">
        <v>75</v>
      </c>
      <c r="AQ34" s="193">
        <v>0.25</v>
      </c>
      <c r="AR34" s="193" t="str">
        <f>INDEX(StatText,AT34,VLOOKUP(Lang,LangSelect,2,FALSE))</f>
        <v>36 mnd</v>
      </c>
      <c r="AS34" s="193"/>
      <c r="AT34" s="77">
        <v>80</v>
      </c>
    </row>
    <row r="35" spans="1:46" ht="14" customHeight="1" x14ac:dyDescent="0.2">
      <c r="A35" s="313">
        <v>24</v>
      </c>
      <c r="B35" s="222" t="str">
        <f>IF(ISNUMBER(DATA!B36),DATA!B36,"")</f>
        <v/>
      </c>
      <c r="C35" s="225" t="str">
        <f>IF(DATA!D36="&lt;",DATA!D36,"")</f>
        <v/>
      </c>
      <c r="D35" s="478" t="str">
        <f t="shared" si="15"/>
        <v/>
      </c>
      <c r="E35" s="363"/>
      <c r="F35" s="159" t="e">
        <f t="shared" si="1"/>
        <v>#N/A</v>
      </c>
      <c r="G35" s="159"/>
      <c r="H35" s="159"/>
      <c r="I35" s="159"/>
      <c r="J35" s="159"/>
      <c r="K35" s="159" t="b">
        <f t="shared" si="17"/>
        <v>0</v>
      </c>
      <c r="L35" s="159" t="b">
        <f t="shared" si="6"/>
        <v>0</v>
      </c>
      <c r="M35" s="159">
        <f t="shared" si="14"/>
        <v>0</v>
      </c>
      <c r="N35" s="159" t="b">
        <f t="shared" si="9"/>
        <v>0</v>
      </c>
      <c r="O35" s="159"/>
      <c r="P35" s="168" t="b">
        <f t="shared" si="7"/>
        <v>0</v>
      </c>
      <c r="Q35" s="159" t="b">
        <f t="shared" si="8"/>
        <v>0</v>
      </c>
      <c r="R35" s="159" t="str">
        <f>IF(ISNUMBER(Beta!I36),Beta!I36,"")</f>
        <v/>
      </c>
      <c r="S35" s="159" t="str">
        <f t="shared" si="10"/>
        <v/>
      </c>
      <c r="T35" s="221" t="str">
        <f t="shared" si="11"/>
        <v/>
      </c>
      <c r="U35" s="169" t="str">
        <f>IF(ISNUMBER(Beta!J36),Beta!J36,"")</f>
        <v/>
      </c>
      <c r="V35" s="207" t="str">
        <f>IF(ISNUMBER(Beta!H36),Beta!H36,"")</f>
        <v/>
      </c>
      <c r="W35" s="207" t="str">
        <f>IF(ISNUMBER(Beta!L36),Beta!L36,"")</f>
        <v/>
      </c>
      <c r="X35" s="207" t="str">
        <f t="shared" si="12"/>
        <v/>
      </c>
      <c r="Y35" s="159" t="e">
        <f t="shared" si="16"/>
        <v>#N/A</v>
      </c>
      <c r="Z35" s="186">
        <v>27</v>
      </c>
      <c r="AA35" s="371" t="str">
        <f>INDEX(StatText,Z35,VLOOKUP(Lang,LangSelect,2,FALSE))</f>
        <v>Andel over grenseverdi (%&gt;GV):</v>
      </c>
      <c r="AB35" s="372">
        <f>IF(OR(AB10=0,N-M&lt;2),"n.a",100*(1-LOGNORMDIST($D$6,AVERAGE(N9:N59),STDEV(N9:N59))))</f>
        <v>1.2986359813317416</v>
      </c>
      <c r="AC35" s="360">
        <v>60</v>
      </c>
      <c r="AD35" s="439" t="str">
        <f>INDEX(StatText,AC35,VLOOKUP(Lang,LangSelect,2,FALSE))</f>
        <v>Kommentar:</v>
      </c>
      <c r="AE35" s="440"/>
      <c r="AF35" s="440"/>
      <c r="AG35" s="440"/>
      <c r="AH35" s="441"/>
      <c r="AI35" s="95"/>
      <c r="AJ35" s="456" t="str">
        <f>IF(N=0,"",IF(OR(AB10=0,N-M&lt;3),INDEX(DataText,51,VLOOKUP(Lang,LangSelect,2,FALSE)),"J ="&amp;IF(AND(AB23="Nei",AB26="Nei"),"Hverken normal eller log-normal fordeling",ROUND(IF(AB21&gt;AB24,EXP(LN(AB34)-LN(GV)),AB41/GV),2))&amp;"     -&gt;  "&amp;IF(J&lt;AQ33,AR33,IF(J&lt;AQ34,AR34,IF(J&lt;AQ35,AR35,IF(J&lt;AQ36,AR36,AR37))))))</f>
        <v>J =0,58     -&gt;  12(24) mnd</v>
      </c>
      <c r="AK35" s="456"/>
      <c r="AL35" s="457"/>
      <c r="AM35" s="183" t="str">
        <f>INDEX(StatText,AP35,VLOOKUP(Lang,LangSelect,2,FALSE))</f>
        <v>J &gt; 0,25 og J &lt; 0,5 -&gt; 24 (30) mnd</v>
      </c>
      <c r="AN35" s="111"/>
      <c r="AO35" s="111"/>
      <c r="AP35" s="95">
        <v>76</v>
      </c>
      <c r="AQ35" s="193">
        <v>0.5</v>
      </c>
      <c r="AR35" s="193" t="str">
        <f>INDEX(StatText,AT35,VLOOKUP(Lang,LangSelect,2,FALSE))</f>
        <v>24 (30) mnd</v>
      </c>
      <c r="AS35" s="193"/>
      <c r="AT35" s="77">
        <v>81</v>
      </c>
    </row>
    <row r="36" spans="1:46" ht="16" customHeight="1" x14ac:dyDescent="0.2">
      <c r="A36" s="313">
        <v>25</v>
      </c>
      <c r="B36" s="222" t="str">
        <f>IF(ISNUMBER(DATA!B37),DATA!B37,"")</f>
        <v/>
      </c>
      <c r="C36" s="225" t="str">
        <f>IF(DATA!D37="&lt;",DATA!D37,"")</f>
        <v/>
      </c>
      <c r="D36" s="478" t="str">
        <f t="shared" si="15"/>
        <v/>
      </c>
      <c r="E36" s="363"/>
      <c r="F36" s="159" t="e">
        <f t="shared" si="1"/>
        <v>#N/A</v>
      </c>
      <c r="G36" s="159"/>
      <c r="H36" s="159"/>
      <c r="I36" s="159"/>
      <c r="J36" s="159"/>
      <c r="K36" s="159" t="b">
        <f t="shared" si="17"/>
        <v>0</v>
      </c>
      <c r="L36" s="159" t="b">
        <f t="shared" si="6"/>
        <v>0</v>
      </c>
      <c r="M36" s="159">
        <f t="shared" si="14"/>
        <v>0</v>
      </c>
      <c r="N36" s="159" t="b">
        <f t="shared" si="9"/>
        <v>0</v>
      </c>
      <c r="O36" s="159"/>
      <c r="P36" s="168" t="b">
        <f t="shared" si="7"/>
        <v>0</v>
      </c>
      <c r="Q36" s="159" t="b">
        <f t="shared" si="8"/>
        <v>0</v>
      </c>
      <c r="R36" s="159" t="str">
        <f>IF(ISNUMBER(Beta!I37),Beta!I37,"")</f>
        <v/>
      </c>
      <c r="S36" s="159" t="str">
        <f t="shared" si="10"/>
        <v/>
      </c>
      <c r="T36" s="221" t="str">
        <f t="shared" si="11"/>
        <v/>
      </c>
      <c r="U36" s="169" t="str">
        <f>IF(ISNUMBER(Beta!J37),Beta!J37,"")</f>
        <v/>
      </c>
      <c r="V36" s="207" t="str">
        <f>IF(ISNUMBER(Beta!H37),Beta!H37,"")</f>
        <v/>
      </c>
      <c r="W36" s="207" t="str">
        <f>IF(ISNUMBER(Beta!L37),Beta!L37,"")</f>
        <v/>
      </c>
      <c r="X36" s="207" t="str">
        <f t="shared" si="12"/>
        <v/>
      </c>
      <c r="Y36" s="159" t="e">
        <f t="shared" si="16"/>
        <v>#N/A</v>
      </c>
      <c r="Z36" s="353"/>
      <c r="AA36" s="373"/>
      <c r="AB36" s="374"/>
      <c r="AC36" s="95">
        <v>61</v>
      </c>
      <c r="AD36" s="442" t="str">
        <f>INDEX(StatText,AC36,VLOOKUP(Lang,LangSelect,2,FALSE))</f>
        <v>- Hvis andel under DG er mindre enn 10% betyr valg av metode lite for vurdering av AM, men kan ha stor betydning for vurdering av EØK. Måleverdiene (x) kan ikke være "0" (null).</v>
      </c>
      <c r="AE36" s="443"/>
      <c r="AF36" s="443"/>
      <c r="AG36" s="443"/>
      <c r="AH36" s="444"/>
      <c r="AI36" s="95"/>
      <c r="AJ36" s="458"/>
      <c r="AK36" s="458"/>
      <c r="AL36" s="459"/>
      <c r="AM36" s="183" t="str">
        <f>INDEX(StatText,AP36,VLOOKUP(Lang,LangSelect,2,FALSE))</f>
        <v>J &gt; 0,5 og J &lt; 1 -&gt; 12 (24) mnd</v>
      </c>
      <c r="AN36" s="111"/>
      <c r="AO36" s="111"/>
      <c r="AP36" s="95">
        <v>77</v>
      </c>
      <c r="AQ36" s="193">
        <v>1</v>
      </c>
      <c r="AR36" s="193" t="str">
        <f>INDEX(StatText,AT36,VLOOKUP(Lang,LangSelect,2,FALSE))</f>
        <v>12(24) mnd</v>
      </c>
      <c r="AS36" s="193"/>
      <c r="AT36" s="77">
        <v>82</v>
      </c>
    </row>
    <row r="37" spans="1:46" ht="14" customHeight="1" x14ac:dyDescent="0.2">
      <c r="A37" s="313">
        <v>26</v>
      </c>
      <c r="B37" s="222" t="str">
        <f>IF(ISNUMBER(DATA!B38),DATA!B38,"")</f>
        <v/>
      </c>
      <c r="C37" s="225" t="str">
        <f>IF(DATA!D38="&lt;",DATA!D38,"")</f>
        <v/>
      </c>
      <c r="D37" s="478" t="str">
        <f t="shared" si="15"/>
        <v/>
      </c>
      <c r="E37" s="363"/>
      <c r="F37" s="159" t="e">
        <f t="shared" si="1"/>
        <v>#N/A</v>
      </c>
      <c r="G37" s="159"/>
      <c r="H37" s="159"/>
      <c r="I37" s="159"/>
      <c r="J37" s="159"/>
      <c r="K37" s="159" t="b">
        <f t="shared" si="17"/>
        <v>0</v>
      </c>
      <c r="L37" s="159" t="b">
        <f t="shared" si="6"/>
        <v>0</v>
      </c>
      <c r="M37" s="159">
        <f t="shared" si="14"/>
        <v>0</v>
      </c>
      <c r="N37" s="159" t="b">
        <f t="shared" si="9"/>
        <v>0</v>
      </c>
      <c r="O37" s="159"/>
      <c r="P37" s="168" t="b">
        <f t="shared" si="7"/>
        <v>0</v>
      </c>
      <c r="Q37" s="159" t="b">
        <f t="shared" si="8"/>
        <v>0</v>
      </c>
      <c r="R37" s="159" t="str">
        <f>IF(ISNUMBER(Beta!I38),Beta!I38,"")</f>
        <v/>
      </c>
      <c r="S37" s="159" t="str">
        <f t="shared" si="10"/>
        <v/>
      </c>
      <c r="T37" s="221" t="str">
        <f t="shared" si="11"/>
        <v/>
      </c>
      <c r="U37" s="169" t="str">
        <f>IF(ISNUMBER(Beta!J38),Beta!J38,"")</f>
        <v/>
      </c>
      <c r="V37" s="207" t="str">
        <f>IF(ISNUMBER(Beta!H38),Beta!H38,"")</f>
        <v/>
      </c>
      <c r="W37" s="207" t="str">
        <f>IF(ISNUMBER(Beta!L38),Beta!L38,"")</f>
        <v/>
      </c>
      <c r="X37" s="207" t="str">
        <f t="shared" si="12"/>
        <v/>
      </c>
      <c r="Y37" s="159" t="e">
        <f t="shared" si="16"/>
        <v>#N/A</v>
      </c>
      <c r="Z37" s="353">
        <v>28</v>
      </c>
      <c r="AA37" s="358" t="str">
        <f t="shared" ref="AA37:AA42" si="18">INDEX(StatText,Z37,VLOOKUP(Lang,LangSelect,2,FALSE))</f>
        <v>NORMAL FORDELING - STATISTIKK</v>
      </c>
      <c r="AB37" s="362"/>
      <c r="AC37" s="360">
        <v>62</v>
      </c>
      <c r="AD37" s="442"/>
      <c r="AE37" s="443"/>
      <c r="AF37" s="443"/>
      <c r="AG37" s="443"/>
      <c r="AH37" s="444"/>
      <c r="AI37" s="95"/>
      <c r="AJ37" s="111"/>
      <c r="AK37" s="111"/>
      <c r="AL37" s="111"/>
      <c r="AM37" s="183" t="str">
        <f>INDEX(StatText,AP37,VLOOKUP(Lang,LangSelect,2,FALSE))</f>
        <v>J &gt;1-&gt; Tiltak og nye målinger</v>
      </c>
      <c r="AN37" s="111"/>
      <c r="AO37" s="111"/>
      <c r="AP37" s="95">
        <v>78</v>
      </c>
      <c r="AQ37" s="193"/>
      <c r="AR37" s="193" t="str">
        <f>INDEX(StatText,AT37,VLOOKUP(Lang,LangSelect,2,FALSE))</f>
        <v>Tiltak og nye målinger</v>
      </c>
      <c r="AS37" s="193"/>
      <c r="AT37" s="77">
        <v>83</v>
      </c>
    </row>
    <row r="38" spans="1:46" ht="14" customHeight="1" x14ac:dyDescent="0.2">
      <c r="A38" s="313">
        <v>27</v>
      </c>
      <c r="B38" s="222" t="str">
        <f>IF(ISNUMBER(DATA!B39),DATA!B39,"")</f>
        <v/>
      </c>
      <c r="C38" s="225" t="str">
        <f>IF(DATA!D39="&lt;",DATA!D39,"")</f>
        <v/>
      </c>
      <c r="D38" s="478" t="str">
        <f t="shared" si="15"/>
        <v/>
      </c>
      <c r="E38" s="363"/>
      <c r="F38" s="159" t="e">
        <f t="shared" si="1"/>
        <v>#N/A</v>
      </c>
      <c r="G38" s="159"/>
      <c r="H38" s="159"/>
      <c r="I38" s="159"/>
      <c r="J38" s="159"/>
      <c r="K38" s="159" t="b">
        <f t="shared" si="17"/>
        <v>0</v>
      </c>
      <c r="L38" s="159" t="b">
        <f t="shared" si="6"/>
        <v>0</v>
      </c>
      <c r="M38" s="159">
        <f t="shared" si="14"/>
        <v>0</v>
      </c>
      <c r="N38" s="159" t="b">
        <f t="shared" si="9"/>
        <v>0</v>
      </c>
      <c r="O38" s="159"/>
      <c r="P38" s="168" t="b">
        <f t="shared" si="7"/>
        <v>0</v>
      </c>
      <c r="Q38" s="159" t="b">
        <f t="shared" si="8"/>
        <v>0</v>
      </c>
      <c r="R38" s="159" t="str">
        <f>IF(ISNUMBER(Beta!I39),Beta!I39,"")</f>
        <v/>
      </c>
      <c r="S38" s="159" t="str">
        <f t="shared" si="10"/>
        <v/>
      </c>
      <c r="T38" s="221" t="str">
        <f t="shared" si="11"/>
        <v/>
      </c>
      <c r="U38" s="169" t="str">
        <f>IF(ISNUMBER(Beta!J39),Beta!J39,"")</f>
        <v/>
      </c>
      <c r="V38" s="207" t="str">
        <f>IF(ISNUMBER(Beta!H39),Beta!H39,"")</f>
        <v/>
      </c>
      <c r="W38" s="207" t="str">
        <f>IF(ISNUMBER(Beta!L39),Beta!L39,"")</f>
        <v/>
      </c>
      <c r="X38" s="207" t="str">
        <f t="shared" si="12"/>
        <v/>
      </c>
      <c r="Y38" s="159" t="e">
        <f t="shared" si="16"/>
        <v>#N/A</v>
      </c>
      <c r="Z38" s="353">
        <v>24</v>
      </c>
      <c r="AA38" s="368" t="str">
        <f t="shared" si="18"/>
        <v>Estimert Aritmetisk Middelverdi (MVUE):</v>
      </c>
      <c r="AB38" s="403">
        <f>IF(OR(AB10=0,N-M&lt;2),"n.a",AE170)</f>
        <v>2.0457033409089678E-2</v>
      </c>
      <c r="AC38" s="360">
        <v>63</v>
      </c>
      <c r="AD38" s="445" t="str">
        <f>INDEX(StatText,AC37,VLOOKUP(Lang,LangSelect,2,FALSE))</f>
        <v>- Usikkerheten i vurderingen vil være høy ved få målinger, stort avvik fra enten log-normal eller normal fordeling, eller ved høy andel målinger under deteksjonsgrensen.</v>
      </c>
      <c r="AE38" s="446"/>
      <c r="AF38" s="446"/>
      <c r="AG38" s="446"/>
      <c r="AH38" s="447"/>
      <c r="AI38" s="95"/>
      <c r="AJ38" s="95">
        <v>10</v>
      </c>
      <c r="AK38" s="95">
        <v>0.25</v>
      </c>
      <c r="AL38" s="95"/>
      <c r="AM38" s="111"/>
      <c r="AN38" s="111"/>
      <c r="AO38" s="111"/>
      <c r="AP38" s="95"/>
      <c r="AQ38" s="193"/>
      <c r="AR38" s="193"/>
      <c r="AS38" s="193"/>
      <c r="AT38" s="77"/>
    </row>
    <row r="39" spans="1:46" ht="14" customHeight="1" x14ac:dyDescent="0.2">
      <c r="A39" s="313">
        <v>28</v>
      </c>
      <c r="B39" s="222" t="str">
        <f>IF(ISNUMBER(DATA!B40),DATA!B40,"")</f>
        <v/>
      </c>
      <c r="C39" s="225" t="str">
        <f>IF(DATA!D40="&lt;",DATA!D40,"")</f>
        <v/>
      </c>
      <c r="D39" s="478" t="str">
        <f t="shared" si="15"/>
        <v/>
      </c>
      <c r="E39" s="363"/>
      <c r="F39" s="159" t="e">
        <f t="shared" si="1"/>
        <v>#N/A</v>
      </c>
      <c r="G39" s="159"/>
      <c r="H39" s="159"/>
      <c r="I39" s="159"/>
      <c r="J39" s="159"/>
      <c r="K39" s="159" t="b">
        <f t="shared" si="17"/>
        <v>0</v>
      </c>
      <c r="L39" s="159" t="b">
        <f t="shared" si="6"/>
        <v>0</v>
      </c>
      <c r="M39" s="159">
        <f t="shared" si="14"/>
        <v>0</v>
      </c>
      <c r="N39" s="159" t="b">
        <f t="shared" si="9"/>
        <v>0</v>
      </c>
      <c r="O39" s="159"/>
      <c r="P39" s="168" t="b">
        <f t="shared" si="7"/>
        <v>0</v>
      </c>
      <c r="Q39" s="159" t="b">
        <f t="shared" si="8"/>
        <v>0</v>
      </c>
      <c r="R39" s="159" t="str">
        <f>IF(ISNUMBER(Beta!I40),Beta!I40,"")</f>
        <v/>
      </c>
      <c r="S39" s="159" t="str">
        <f t="shared" si="10"/>
        <v/>
      </c>
      <c r="T39" s="221" t="str">
        <f t="shared" si="11"/>
        <v/>
      </c>
      <c r="U39" s="169" t="str">
        <f>IF(ISNUMBER(Beta!J40),Beta!J40,"")</f>
        <v/>
      </c>
      <c r="V39" s="207" t="str">
        <f>IF(ISNUMBER(Beta!H40),Beta!H40,"")</f>
        <v/>
      </c>
      <c r="W39" s="207" t="str">
        <f>IF(ISNUMBER(Beta!L40),Beta!L40,"")</f>
        <v/>
      </c>
      <c r="X39" s="207" t="str">
        <f t="shared" si="12"/>
        <v/>
      </c>
      <c r="Y39" s="159" t="e">
        <f t="shared" si="16"/>
        <v>#N/A</v>
      </c>
      <c r="Z39" s="353">
        <v>33</v>
      </c>
      <c r="AA39" s="368" t="str">
        <f t="shared" si="18"/>
        <v>Estimert Aritmetisk Middelverdi:</v>
      </c>
      <c r="AB39" s="403">
        <f>IF(OR(AB10=0,N-M&lt;2),"n.a",AVERAGE(D12:D61))</f>
        <v>1.253231225482293E-2</v>
      </c>
      <c r="AC39" s="360"/>
      <c r="AD39" s="445"/>
      <c r="AE39" s="446"/>
      <c r="AF39" s="446"/>
      <c r="AG39" s="446"/>
      <c r="AH39" s="447"/>
      <c r="AI39" s="95"/>
      <c r="AJ39" s="95">
        <v>20</v>
      </c>
      <c r="AK39" s="95">
        <v>0.3</v>
      </c>
      <c r="AL39" s="95"/>
      <c r="AM39" s="111"/>
      <c r="AN39" s="111"/>
      <c r="AO39" s="111"/>
      <c r="AP39" s="95"/>
      <c r="AQ39" s="193"/>
      <c r="AR39" s="193" t="str">
        <f>IF(J&lt;AQ33,AR33,IF(J&lt;AQ34,AR34,IF(J&lt;AQ35,AR35,IF(J&lt;AQ36,AR36,AR37))))</f>
        <v>12(24) mnd</v>
      </c>
      <c r="AS39" s="193"/>
      <c r="AT39" s="77"/>
    </row>
    <row r="40" spans="1:46" ht="14" customHeight="1" x14ac:dyDescent="0.2">
      <c r="A40" s="313">
        <v>29</v>
      </c>
      <c r="B40" s="222" t="str">
        <f>IF(ISNUMBER(DATA!B41),DATA!B41,"")</f>
        <v/>
      </c>
      <c r="C40" s="225" t="str">
        <f>IF(DATA!D41="&lt;",DATA!D41,"")</f>
        <v/>
      </c>
      <c r="D40" s="478" t="str">
        <f t="shared" si="15"/>
        <v/>
      </c>
      <c r="E40" s="363"/>
      <c r="F40" s="159" t="e">
        <f t="shared" si="1"/>
        <v>#N/A</v>
      </c>
      <c r="G40" s="159"/>
      <c r="H40" s="159"/>
      <c r="I40" s="159"/>
      <c r="J40" s="159"/>
      <c r="K40" s="159" t="b">
        <f t="shared" si="17"/>
        <v>0</v>
      </c>
      <c r="L40" s="159" t="b">
        <f t="shared" si="6"/>
        <v>0</v>
      </c>
      <c r="M40" s="159">
        <f t="shared" si="14"/>
        <v>0</v>
      </c>
      <c r="N40" s="159" t="b">
        <f t="shared" si="9"/>
        <v>0</v>
      </c>
      <c r="O40" s="159"/>
      <c r="P40" s="168" t="b">
        <f t="shared" si="7"/>
        <v>0</v>
      </c>
      <c r="Q40" s="159" t="b">
        <f t="shared" si="8"/>
        <v>0</v>
      </c>
      <c r="R40" s="159" t="str">
        <f>IF(ISNUMBER(Beta!I41),Beta!I41,"")</f>
        <v/>
      </c>
      <c r="S40" s="159" t="str">
        <f t="shared" si="10"/>
        <v/>
      </c>
      <c r="T40" s="221" t="str">
        <f t="shared" si="11"/>
        <v/>
      </c>
      <c r="U40" s="169" t="str">
        <f>IF(ISNUMBER(Beta!J41),Beta!J41,"")</f>
        <v/>
      </c>
      <c r="V40" s="207" t="str">
        <f>IF(ISNUMBER(Beta!H41),Beta!H41,"")</f>
        <v/>
      </c>
      <c r="W40" s="207" t="str">
        <f>IF(ISNUMBER(Beta!L41),Beta!L41,"")</f>
        <v/>
      </c>
      <c r="X40" s="207" t="str">
        <f t="shared" si="12"/>
        <v/>
      </c>
      <c r="Y40" s="159" t="e">
        <f t="shared" si="16"/>
        <v>#N/A</v>
      </c>
      <c r="Z40" s="353">
        <v>30</v>
      </c>
      <c r="AA40" s="368" t="str">
        <f t="shared" si="18"/>
        <v>95%il (estimat -z):</v>
      </c>
      <c r="AB40" s="404">
        <f>IF(OR(AB10=0,N-M&lt;2),"n.a",AB38+(1.645*STDEV(D12:D61)))</f>
        <v>3.8910705195799408E-2</v>
      </c>
      <c r="AC40" s="95"/>
      <c r="AD40" s="328"/>
      <c r="AE40" s="329"/>
      <c r="AF40" s="329"/>
      <c r="AG40" s="329"/>
      <c r="AH40" s="330"/>
      <c r="AI40" s="95"/>
      <c r="AJ40" s="95">
        <v>35</v>
      </c>
      <c r="AK40" s="95">
        <v>0.4</v>
      </c>
      <c r="AL40" s="95"/>
      <c r="AM40" s="111"/>
      <c r="AN40" s="111"/>
      <c r="AO40" s="111"/>
      <c r="AP40" s="95"/>
      <c r="AQ40" s="193"/>
      <c r="AR40" s="193"/>
      <c r="AS40" s="193"/>
      <c r="AT40" s="77"/>
    </row>
    <row r="41" spans="1:46" ht="14" customHeight="1" x14ac:dyDescent="0.2">
      <c r="A41" s="313">
        <v>30</v>
      </c>
      <c r="B41" s="222" t="str">
        <f>IF(ISNUMBER(DATA!B42),DATA!B42,"")</f>
        <v/>
      </c>
      <c r="C41" s="225" t="str">
        <f>IF(DATA!D42="&lt;",DATA!D42,"")</f>
        <v/>
      </c>
      <c r="D41" s="478" t="str">
        <f t="shared" si="15"/>
        <v/>
      </c>
      <c r="E41" s="363"/>
      <c r="F41" s="159" t="e">
        <f t="shared" ref="F41:F59" si="19">N146</f>
        <v>#N/A</v>
      </c>
      <c r="G41" s="159"/>
      <c r="H41" s="159"/>
      <c r="I41" s="159"/>
      <c r="J41" s="159"/>
      <c r="K41" s="159" t="b">
        <f t="shared" si="17"/>
        <v>0</v>
      </c>
      <c r="L41" s="159" t="b">
        <f t="shared" ref="L41:L59" si="20">IF(ISNUMBER(U146),U146)</f>
        <v>0</v>
      </c>
      <c r="M41" s="159">
        <f t="shared" si="14"/>
        <v>0</v>
      </c>
      <c r="N41" s="159" t="b">
        <f t="shared" ref="N41:N59" si="21">IF(ISNUMBER(Q146),LN(Q146))</f>
        <v>0</v>
      </c>
      <c r="O41" s="159"/>
      <c r="P41" s="168" t="b">
        <f t="shared" ref="P41:P59" si="22">IF(ISNUMBER(D44),(D44-$AB$12)^2)</f>
        <v>0</v>
      </c>
      <c r="Q41" s="159" t="b">
        <f t="shared" ref="Q41:Q59" si="23">IF(ISNUMBER(N41),(N41-$AB$15)^2)</f>
        <v>0</v>
      </c>
      <c r="R41" s="159" t="str">
        <f>IF(ISNUMBER(Beta!I42),Beta!I42,"")</f>
        <v/>
      </c>
      <c r="S41" s="159" t="str">
        <f t="shared" si="10"/>
        <v/>
      </c>
      <c r="T41" s="221" t="str">
        <f t="shared" si="11"/>
        <v/>
      </c>
      <c r="U41" s="169" t="str">
        <f>IF(ISNUMBER(Beta!J42),Beta!J42,"")</f>
        <v/>
      </c>
      <c r="V41" s="207" t="str">
        <f>IF(ISNUMBER(Beta!H42),Beta!H42,"")</f>
        <v/>
      </c>
      <c r="W41" s="207" t="str">
        <f>IF(ISNUMBER(Beta!L42),Beta!L42,"")</f>
        <v/>
      </c>
      <c r="X41" s="207" t="str">
        <f t="shared" si="12"/>
        <v/>
      </c>
      <c r="Y41" s="159" t="e">
        <f t="shared" ref="Y41:Y59" si="24">IF(ISNUMBER(D44),D44,NA())</f>
        <v>#N/A</v>
      </c>
      <c r="Z41" s="353">
        <v>31</v>
      </c>
      <c r="AA41" s="368" t="str">
        <f t="shared" si="18"/>
        <v>Estimert Øvre Konsentrasjon - U_T (EØK 95%,70%):</v>
      </c>
      <c r="AB41" s="405">
        <f>IF(OR(AB10=0,N-M&lt;2),"n.a",AO127)</f>
        <v>3.4755244661796775E-2</v>
      </c>
      <c r="AC41" s="359"/>
      <c r="AD41" s="95"/>
      <c r="AE41" s="95"/>
      <c r="AF41" s="95"/>
      <c r="AG41" s="95"/>
      <c r="AH41" s="95"/>
      <c r="AI41" s="95"/>
      <c r="AJ41" s="95">
        <v>51</v>
      </c>
      <c r="AK41" s="95">
        <v>0.6</v>
      </c>
      <c r="AL41" s="95"/>
      <c r="AM41" s="111"/>
      <c r="AN41" s="111"/>
      <c r="AO41" s="111"/>
      <c r="AP41" s="111"/>
      <c r="AQ41" s="111"/>
      <c r="AR41" s="111"/>
      <c r="AS41" s="111"/>
      <c r="AT41" s="77"/>
    </row>
    <row r="42" spans="1:46" ht="14" customHeight="1" x14ac:dyDescent="0.2">
      <c r="A42" s="313">
        <v>31</v>
      </c>
      <c r="B42" s="222" t="str">
        <f>IF(ISNUMBER(DATA!B43),DATA!B43,"")</f>
        <v/>
      </c>
      <c r="C42" s="225" t="str">
        <f>IF(DATA!D43="&lt;",DATA!D43,"")</f>
        <v/>
      </c>
      <c r="D42" s="478" t="str">
        <f t="shared" si="15"/>
        <v/>
      </c>
      <c r="E42" s="363"/>
      <c r="F42" s="159" t="e">
        <f t="shared" si="19"/>
        <v>#N/A</v>
      </c>
      <c r="G42" s="159"/>
      <c r="H42" s="159"/>
      <c r="I42" s="159"/>
      <c r="J42" s="159"/>
      <c r="K42" s="159" t="b">
        <f t="shared" si="17"/>
        <v>0</v>
      </c>
      <c r="L42" s="159" t="b">
        <f t="shared" si="20"/>
        <v>0</v>
      </c>
      <c r="M42" s="159">
        <f t="shared" si="14"/>
        <v>0</v>
      </c>
      <c r="N42" s="159" t="b">
        <f t="shared" si="21"/>
        <v>0</v>
      </c>
      <c r="O42" s="159"/>
      <c r="P42" s="168" t="b">
        <f t="shared" si="22"/>
        <v>0</v>
      </c>
      <c r="Q42" s="159" t="b">
        <f t="shared" si="23"/>
        <v>0</v>
      </c>
      <c r="R42" s="159" t="str">
        <f>IF(ISNUMBER(Beta!I43),Beta!I43,"")</f>
        <v/>
      </c>
      <c r="S42" s="159" t="str">
        <f t="shared" si="10"/>
        <v/>
      </c>
      <c r="T42" s="221" t="str">
        <f t="shared" si="11"/>
        <v/>
      </c>
      <c r="U42" s="169" t="str">
        <f>IF(ISNUMBER(Beta!J43),Beta!J43,"")</f>
        <v/>
      </c>
      <c r="V42" s="207" t="str">
        <f>IF(ISNUMBER(Beta!H43),Beta!H43,"")</f>
        <v/>
      </c>
      <c r="W42" s="207" t="str">
        <f>IF(ISNUMBER(Beta!L43),Beta!L43,"")</f>
        <v/>
      </c>
      <c r="X42" s="207" t="str">
        <f t="shared" si="12"/>
        <v/>
      </c>
      <c r="Y42" s="159" t="e">
        <f t="shared" si="24"/>
        <v>#N/A</v>
      </c>
      <c r="Z42" s="353">
        <v>32</v>
      </c>
      <c r="AA42" s="375" t="str">
        <f t="shared" si="18"/>
        <v>Andel over grenseverdi (%&gt;GV):</v>
      </c>
      <c r="AB42" s="372">
        <f>IF(OR(AB10=0,N-M&lt;2),"n.a",100*(1-NORMDIST(D6,AB38,STDEV(D12:D61),TRUE())))</f>
        <v>2.1178527820397974E-2</v>
      </c>
      <c r="AC42" s="359"/>
      <c r="AD42" s="95"/>
      <c r="AE42" s="95"/>
      <c r="AF42" s="95"/>
      <c r="AG42" s="95"/>
      <c r="AH42" s="95"/>
      <c r="AI42" s="95"/>
      <c r="AJ42" s="95" t="s">
        <v>126</v>
      </c>
      <c r="AK42" s="95">
        <f>IF(AB6&lt;AJ38,AK38,IF(AB6&lt;AJ39,AK39,IF(AB6&lt;AJ40,AK40,IF(AB6&lt;AJ41,AK41,0.7))))</f>
        <v>0.3</v>
      </c>
      <c r="AL42" s="95"/>
      <c r="AM42" s="111"/>
      <c r="AN42" s="111"/>
      <c r="AO42" s="111"/>
      <c r="AP42" s="111"/>
      <c r="AQ42" s="111"/>
      <c r="AR42" s="111"/>
      <c r="AS42" s="111"/>
      <c r="AT42" s="160"/>
    </row>
    <row r="43" spans="1:46" x14ac:dyDescent="0.2">
      <c r="A43" s="313">
        <v>32</v>
      </c>
      <c r="B43" s="222" t="str">
        <f>IF(ISNUMBER(DATA!B44),DATA!B44,"")</f>
        <v/>
      </c>
      <c r="C43" s="225" t="str">
        <f>IF(DATA!D44="&lt;",DATA!D44,"")</f>
        <v/>
      </c>
      <c r="D43" s="478" t="str">
        <f t="shared" si="15"/>
        <v/>
      </c>
      <c r="E43" s="363"/>
      <c r="F43" s="159" t="e">
        <f t="shared" si="19"/>
        <v>#N/A</v>
      </c>
      <c r="G43" s="159"/>
      <c r="H43" s="159"/>
      <c r="I43" s="159"/>
      <c r="J43" s="159"/>
      <c r="K43" s="159" t="b">
        <f t="shared" si="17"/>
        <v>0</v>
      </c>
      <c r="L43" s="159" t="b">
        <f t="shared" si="20"/>
        <v>0</v>
      </c>
      <c r="M43" s="159">
        <f t="shared" si="14"/>
        <v>0</v>
      </c>
      <c r="N43" s="159" t="b">
        <f t="shared" si="21"/>
        <v>0</v>
      </c>
      <c r="O43" s="159"/>
      <c r="P43" s="168" t="b">
        <f t="shared" si="22"/>
        <v>0</v>
      </c>
      <c r="Q43" s="159" t="b">
        <f t="shared" si="23"/>
        <v>0</v>
      </c>
      <c r="R43" s="159" t="str">
        <f>IF(ISNUMBER(Beta!I44),Beta!I44,"")</f>
        <v/>
      </c>
      <c r="S43" s="159" t="str">
        <f t="shared" si="10"/>
        <v/>
      </c>
      <c r="T43" s="221" t="str">
        <f t="shared" si="11"/>
        <v/>
      </c>
      <c r="U43" s="169" t="str">
        <f>IF(ISNUMBER(Beta!J44),Beta!J44,"")</f>
        <v/>
      </c>
      <c r="V43" s="207" t="str">
        <f>IF(ISNUMBER(Beta!H44),Beta!H44,"")</f>
        <v/>
      </c>
      <c r="W43" s="207" t="str">
        <f>IF(ISNUMBER(Beta!L44),Beta!L44,"")</f>
        <v/>
      </c>
      <c r="X43" s="207" t="str">
        <f t="shared" si="12"/>
        <v/>
      </c>
      <c r="Y43" s="159" t="e">
        <f t="shared" si="24"/>
        <v>#N/A</v>
      </c>
      <c r="Z43" s="353"/>
      <c r="AA43" s="373"/>
      <c r="AB43" s="376"/>
      <c r="AC43" s="359"/>
      <c r="AD43" s="95"/>
      <c r="AE43" s="95"/>
      <c r="AF43" s="95"/>
      <c r="AG43" s="95"/>
      <c r="AH43" s="95"/>
      <c r="AI43" s="95"/>
      <c r="AJ43" s="95"/>
      <c r="AK43" s="95"/>
      <c r="AL43" s="95"/>
      <c r="AM43" s="111"/>
      <c r="AN43" s="111"/>
      <c r="AO43" s="111"/>
      <c r="AP43" s="111"/>
      <c r="AQ43" s="111"/>
      <c r="AR43" s="111"/>
      <c r="AS43" s="111"/>
      <c r="AT43" s="160"/>
    </row>
    <row r="44" spans="1:46" ht="15" x14ac:dyDescent="0.2">
      <c r="A44" s="313">
        <v>33</v>
      </c>
      <c r="B44" s="222" t="str">
        <f>IF(ISNUMBER(DATA!B45),DATA!B45,"")</f>
        <v/>
      </c>
      <c r="C44" s="225" t="str">
        <f>IF(DATA!D45="&lt;",DATA!D45,"")</f>
        <v/>
      </c>
      <c r="D44" s="478" t="str">
        <f t="shared" si="15"/>
        <v/>
      </c>
      <c r="E44" s="363"/>
      <c r="F44" s="159" t="e">
        <f t="shared" si="19"/>
        <v>#N/A</v>
      </c>
      <c r="G44" s="159"/>
      <c r="H44" s="159"/>
      <c r="I44" s="159"/>
      <c r="J44" s="159"/>
      <c r="K44" s="159" t="b">
        <f t="shared" si="17"/>
        <v>0</v>
      </c>
      <c r="L44" s="159" t="b">
        <f t="shared" si="20"/>
        <v>0</v>
      </c>
      <c r="M44" s="159">
        <f t="shared" si="14"/>
        <v>0</v>
      </c>
      <c r="N44" s="159" t="b">
        <f t="shared" si="21"/>
        <v>0</v>
      </c>
      <c r="O44" s="159"/>
      <c r="P44" s="168" t="b">
        <f t="shared" si="22"/>
        <v>0</v>
      </c>
      <c r="Q44" s="159" t="b">
        <f t="shared" si="23"/>
        <v>0</v>
      </c>
      <c r="R44" s="159" t="str">
        <f>IF(ISNUMBER(Beta!I45),Beta!I45,"")</f>
        <v/>
      </c>
      <c r="S44" s="159" t="str">
        <f t="shared" si="10"/>
        <v/>
      </c>
      <c r="T44" s="221" t="str">
        <f t="shared" si="11"/>
        <v/>
      </c>
      <c r="U44" s="169" t="str">
        <f>IF(ISNUMBER(Beta!J45),Beta!J45,"")</f>
        <v/>
      </c>
      <c r="V44" s="207" t="str">
        <f>IF(ISNUMBER(Beta!H45),Beta!H45,"")</f>
        <v/>
      </c>
      <c r="W44" s="207" t="str">
        <f>IF(ISNUMBER(Beta!L45),Beta!L45,"")</f>
        <v/>
      </c>
      <c r="X44" s="207" t="str">
        <f t="shared" si="12"/>
        <v/>
      </c>
      <c r="Y44" s="159" t="e">
        <f t="shared" si="24"/>
        <v>#N/A</v>
      </c>
      <c r="Z44" s="186">
        <v>87</v>
      </c>
      <c r="AA44" s="364" t="str">
        <f>INDEX(StatText,Z44,VLOOKUP(Lang,LangSelect,2,FALSE))</f>
        <v>Andel av normalfordeling mindre enn null</v>
      </c>
      <c r="AB44" s="365"/>
      <c r="AC44" s="193"/>
      <c r="AD44" s="159"/>
      <c r="AE44" s="159"/>
      <c r="AF44" s="159"/>
      <c r="AG44" s="111"/>
      <c r="AH44" s="111"/>
      <c r="AI44" s="95"/>
      <c r="AJ44" s="111"/>
      <c r="AK44" s="111"/>
      <c r="AL44" s="111"/>
      <c r="AM44" s="111"/>
      <c r="AN44" s="111"/>
      <c r="AO44" s="111"/>
      <c r="AP44" s="111"/>
      <c r="AQ44" s="111"/>
      <c r="AR44" s="111"/>
      <c r="AS44" s="111"/>
      <c r="AT44" s="160"/>
    </row>
    <row r="45" spans="1:46" x14ac:dyDescent="0.2">
      <c r="A45" s="313">
        <v>34</v>
      </c>
      <c r="B45" s="222" t="str">
        <f>IF(ISNUMBER(DATA!B46),DATA!B46,"")</f>
        <v/>
      </c>
      <c r="C45" s="225" t="str">
        <f>IF(DATA!D46="&lt;",DATA!D46,"")</f>
        <v/>
      </c>
      <c r="D45" s="478" t="str">
        <f t="shared" si="15"/>
        <v/>
      </c>
      <c r="E45" s="313"/>
      <c r="F45" s="159" t="e">
        <f t="shared" si="19"/>
        <v>#N/A</v>
      </c>
      <c r="G45" s="159"/>
      <c r="H45" s="159"/>
      <c r="I45" s="159"/>
      <c r="J45" s="159"/>
      <c r="K45" s="159" t="b">
        <f t="shared" si="17"/>
        <v>0</v>
      </c>
      <c r="L45" s="159" t="b">
        <f t="shared" si="20"/>
        <v>0</v>
      </c>
      <c r="M45" s="159">
        <f t="shared" si="14"/>
        <v>0</v>
      </c>
      <c r="N45" s="159" t="b">
        <f t="shared" si="21"/>
        <v>0</v>
      </c>
      <c r="O45" s="159"/>
      <c r="P45" s="168" t="b">
        <f t="shared" si="22"/>
        <v>0</v>
      </c>
      <c r="Q45" s="159" t="b">
        <f t="shared" si="23"/>
        <v>0</v>
      </c>
      <c r="R45" s="159" t="str">
        <f>IF(ISNUMBER(Beta!I46),Beta!I46,"")</f>
        <v/>
      </c>
      <c r="S45" s="159" t="str">
        <f t="shared" si="10"/>
        <v/>
      </c>
      <c r="T45" s="221" t="str">
        <f t="shared" si="11"/>
        <v/>
      </c>
      <c r="U45" s="169" t="str">
        <f>IF(ISNUMBER(Beta!J46),Beta!J46,"")</f>
        <v/>
      </c>
      <c r="V45" s="207" t="str">
        <f>IF(ISNUMBER(Beta!H46),Beta!H46,"")</f>
        <v/>
      </c>
      <c r="W45" s="207" t="str">
        <f>IF(ISNUMBER(Beta!L46),Beta!L46,"")</f>
        <v/>
      </c>
      <c r="X45" s="207" t="str">
        <f t="shared" si="12"/>
        <v/>
      </c>
      <c r="Y45" s="159" t="e">
        <f t="shared" si="24"/>
        <v>#N/A</v>
      </c>
      <c r="Z45" s="186">
        <v>88</v>
      </c>
      <c r="AA45" s="377" t="str">
        <f>INDEX(StatText,Z45,VLOOKUP(Lang,LangSelect,2,FALSE))</f>
        <v>Prosent av en normalfordeling under null</v>
      </c>
      <c r="AB45" s="378">
        <f>IF(OR(AB10=0,N-M&lt;2),"n.a",ROUND(100*_xlfn.NORM.S.DIST((0-AB12)/AB14,TRUE),1))</f>
        <v>11.1</v>
      </c>
      <c r="AC45" s="95"/>
      <c r="AD45" s="111"/>
      <c r="AE45" s="111"/>
      <c r="AF45" s="111"/>
      <c r="AG45" s="111"/>
      <c r="AH45" s="111"/>
      <c r="AI45" s="95"/>
      <c r="AJ45" s="111"/>
      <c r="AK45" s="111"/>
      <c r="AL45" s="111"/>
      <c r="AM45" s="111"/>
      <c r="AN45" s="111"/>
      <c r="AO45" s="111"/>
      <c r="AP45" s="111"/>
      <c r="AQ45" s="111"/>
      <c r="AR45" s="111"/>
      <c r="AS45" s="111"/>
      <c r="AT45" s="160"/>
    </row>
    <row r="46" spans="1:46" x14ac:dyDescent="0.2">
      <c r="A46" s="313">
        <v>35</v>
      </c>
      <c r="B46" s="222" t="str">
        <f>IF(ISNUMBER(DATA!B47),DATA!B47,"")</f>
        <v/>
      </c>
      <c r="C46" s="225" t="str">
        <f>IF(DATA!D47="&lt;",DATA!D47,"")</f>
        <v/>
      </c>
      <c r="D46" s="478" t="str">
        <f t="shared" si="15"/>
        <v/>
      </c>
      <c r="E46" s="313"/>
      <c r="F46" s="159" t="e">
        <f t="shared" si="19"/>
        <v>#N/A</v>
      </c>
      <c r="G46" s="159"/>
      <c r="H46" s="159"/>
      <c r="I46" s="159"/>
      <c r="J46" s="159"/>
      <c r="K46" s="159" t="b">
        <f t="shared" si="17"/>
        <v>0</v>
      </c>
      <c r="L46" s="159" t="b">
        <f t="shared" si="20"/>
        <v>0</v>
      </c>
      <c r="M46" s="159">
        <f t="shared" si="14"/>
        <v>0</v>
      </c>
      <c r="N46" s="159" t="b">
        <f t="shared" si="21"/>
        <v>0</v>
      </c>
      <c r="O46" s="159"/>
      <c r="P46" s="168" t="b">
        <f t="shared" si="22"/>
        <v>0</v>
      </c>
      <c r="Q46" s="159" t="b">
        <f t="shared" si="23"/>
        <v>0</v>
      </c>
      <c r="R46" s="159" t="str">
        <f>IF(ISNUMBER(Beta!I47),Beta!I47,"")</f>
        <v/>
      </c>
      <c r="S46" s="159" t="str">
        <f t="shared" si="10"/>
        <v/>
      </c>
      <c r="T46" s="221" t="str">
        <f t="shared" si="11"/>
        <v/>
      </c>
      <c r="U46" s="169" t="str">
        <f>IF(ISNUMBER(Beta!J47),Beta!J47,"")</f>
        <v/>
      </c>
      <c r="V46" s="207" t="str">
        <f>IF(ISNUMBER(Beta!H47),Beta!H47,"")</f>
        <v/>
      </c>
      <c r="W46" s="207" t="str">
        <f>IF(ISNUMBER(Beta!L47),Beta!L47,"")</f>
        <v/>
      </c>
      <c r="X46" s="207" t="str">
        <f t="shared" si="12"/>
        <v/>
      </c>
      <c r="Y46" s="159" t="e">
        <f t="shared" si="24"/>
        <v>#N/A</v>
      </c>
      <c r="Z46" s="110"/>
      <c r="AA46" s="186"/>
      <c r="AB46" s="187"/>
      <c r="AC46" s="95"/>
      <c r="AD46" s="111"/>
      <c r="AE46" s="111"/>
      <c r="AF46" s="111"/>
      <c r="AG46" s="111"/>
      <c r="AH46" s="111"/>
      <c r="AI46" s="95"/>
      <c r="AJ46" s="111"/>
      <c r="AK46" s="111"/>
      <c r="AL46" s="111"/>
      <c r="AM46" s="111"/>
      <c r="AN46" s="111"/>
      <c r="AO46" s="111"/>
      <c r="AP46" s="111"/>
      <c r="AQ46" s="111"/>
      <c r="AR46" s="111"/>
      <c r="AS46" s="111"/>
      <c r="AT46" s="160"/>
    </row>
    <row r="47" spans="1:46" x14ac:dyDescent="0.2">
      <c r="A47" s="313">
        <v>36</v>
      </c>
      <c r="B47" s="222" t="str">
        <f>IF(ISNUMBER(DATA!B48),DATA!B48,"")</f>
        <v/>
      </c>
      <c r="C47" s="225" t="str">
        <f>IF(DATA!D48="&lt;",DATA!D48,"")</f>
        <v/>
      </c>
      <c r="D47" s="478" t="str">
        <f t="shared" si="15"/>
        <v/>
      </c>
      <c r="E47" s="313"/>
      <c r="F47" s="159" t="e">
        <f t="shared" si="19"/>
        <v>#N/A</v>
      </c>
      <c r="G47" s="159"/>
      <c r="H47" s="159"/>
      <c r="I47" s="159"/>
      <c r="J47" s="159"/>
      <c r="K47" s="159" t="b">
        <f t="shared" si="17"/>
        <v>0</v>
      </c>
      <c r="L47" s="159" t="b">
        <f t="shared" si="20"/>
        <v>0</v>
      </c>
      <c r="M47" s="159">
        <f t="shared" si="14"/>
        <v>0</v>
      </c>
      <c r="N47" s="159" t="b">
        <f t="shared" si="21"/>
        <v>0</v>
      </c>
      <c r="O47" s="159"/>
      <c r="P47" s="168" t="b">
        <f t="shared" si="22"/>
        <v>0</v>
      </c>
      <c r="Q47" s="159" t="b">
        <f t="shared" si="23"/>
        <v>0</v>
      </c>
      <c r="R47" s="159" t="str">
        <f>IF(ISNUMBER(Beta!I48),Beta!I48,"")</f>
        <v/>
      </c>
      <c r="S47" s="159" t="str">
        <f t="shared" si="10"/>
        <v/>
      </c>
      <c r="T47" s="221" t="str">
        <f t="shared" si="11"/>
        <v/>
      </c>
      <c r="U47" s="169" t="str">
        <f>IF(ISNUMBER(Beta!J48),Beta!J48,"")</f>
        <v/>
      </c>
      <c r="V47" s="207" t="str">
        <f>IF(ISNUMBER(Beta!H48),Beta!H48,"")</f>
        <v/>
      </c>
      <c r="W47" s="207" t="str">
        <f>IF(ISNUMBER(Beta!L48),Beta!L48,"")</f>
        <v/>
      </c>
      <c r="X47" s="207" t="str">
        <f t="shared" si="12"/>
        <v/>
      </c>
      <c r="Y47" s="159" t="e">
        <f t="shared" si="24"/>
        <v>#N/A</v>
      </c>
      <c r="Z47" s="110"/>
      <c r="AA47" s="111"/>
      <c r="AB47" s="136"/>
      <c r="AC47" s="95"/>
      <c r="AD47" s="111"/>
      <c r="AE47" s="111"/>
      <c r="AF47" s="111"/>
      <c r="AG47" s="111"/>
      <c r="AH47" s="111"/>
      <c r="AI47" s="95"/>
      <c r="AJ47" s="111"/>
      <c r="AK47" s="111"/>
      <c r="AL47" s="111"/>
      <c r="AM47" s="111"/>
      <c r="AN47" s="111"/>
      <c r="AO47" s="111"/>
      <c r="AP47" s="111"/>
      <c r="AQ47" s="111"/>
      <c r="AR47" s="111"/>
      <c r="AS47" s="111"/>
      <c r="AT47" s="160"/>
    </row>
    <row r="48" spans="1:46" x14ac:dyDescent="0.2">
      <c r="A48" s="313">
        <v>37</v>
      </c>
      <c r="B48" s="222" t="str">
        <f>IF(ISNUMBER(DATA!B49),DATA!B49,"")</f>
        <v/>
      </c>
      <c r="C48" s="225" t="str">
        <f>IF(DATA!D49="&lt;",DATA!D49,"")</f>
        <v/>
      </c>
      <c r="D48" s="478" t="str">
        <f t="shared" si="15"/>
        <v/>
      </c>
      <c r="E48" s="313"/>
      <c r="F48" s="159" t="e">
        <f t="shared" si="19"/>
        <v>#N/A</v>
      </c>
      <c r="G48" s="159"/>
      <c r="H48" s="159"/>
      <c r="I48" s="159"/>
      <c r="J48" s="159"/>
      <c r="K48" s="159" t="b">
        <f t="shared" si="17"/>
        <v>0</v>
      </c>
      <c r="L48" s="159" t="b">
        <f t="shared" si="20"/>
        <v>0</v>
      </c>
      <c r="M48" s="159">
        <f t="shared" si="14"/>
        <v>0</v>
      </c>
      <c r="N48" s="159" t="b">
        <f t="shared" si="21"/>
        <v>0</v>
      </c>
      <c r="O48" s="159"/>
      <c r="P48" s="168" t="b">
        <f t="shared" si="22"/>
        <v>0</v>
      </c>
      <c r="Q48" s="159" t="b">
        <f t="shared" si="23"/>
        <v>0</v>
      </c>
      <c r="R48" s="159" t="str">
        <f>IF(ISNUMBER(Beta!I49),Beta!I49,"")</f>
        <v/>
      </c>
      <c r="S48" s="159" t="str">
        <f t="shared" si="10"/>
        <v/>
      </c>
      <c r="T48" s="221" t="str">
        <f t="shared" si="11"/>
        <v/>
      </c>
      <c r="U48" s="169" t="str">
        <f>IF(ISNUMBER(Beta!J49),Beta!J49,"")</f>
        <v/>
      </c>
      <c r="V48" s="207" t="str">
        <f>IF(ISNUMBER(Beta!H49),Beta!H49,"")</f>
        <v/>
      </c>
      <c r="W48" s="207" t="str">
        <f>IF(ISNUMBER(Beta!L49),Beta!L49,"")</f>
        <v/>
      </c>
      <c r="X48" s="207" t="str">
        <f t="shared" si="12"/>
        <v/>
      </c>
      <c r="Y48" s="159" t="e">
        <f t="shared" si="24"/>
        <v>#N/A</v>
      </c>
      <c r="Z48" s="110"/>
      <c r="AA48" s="111"/>
      <c r="AB48" s="136"/>
      <c r="AC48" s="95"/>
      <c r="AD48" s="111"/>
      <c r="AE48" s="111"/>
      <c r="AF48" s="111"/>
      <c r="AG48" s="111"/>
      <c r="AH48" s="111"/>
      <c r="AI48" s="95"/>
      <c r="AJ48" s="111"/>
      <c r="AK48" s="111"/>
      <c r="AL48" s="111"/>
      <c r="AM48" s="111"/>
      <c r="AN48" s="111"/>
      <c r="AO48" s="111"/>
      <c r="AP48" s="111"/>
      <c r="AQ48" s="111"/>
      <c r="AR48" s="111"/>
      <c r="AS48" s="111"/>
      <c r="AT48" s="160"/>
    </row>
    <row r="49" spans="1:46" x14ac:dyDescent="0.2">
      <c r="A49" s="313">
        <v>38</v>
      </c>
      <c r="B49" s="222" t="str">
        <f>IF(ISNUMBER(DATA!B50),DATA!B50,"")</f>
        <v/>
      </c>
      <c r="C49" s="225" t="str">
        <f>IF(DATA!D50="&lt;",DATA!D50,"")</f>
        <v/>
      </c>
      <c r="D49" s="478" t="str">
        <f t="shared" si="15"/>
        <v/>
      </c>
      <c r="E49" s="313"/>
      <c r="F49" s="159" t="e">
        <f t="shared" si="19"/>
        <v>#N/A</v>
      </c>
      <c r="G49" s="159"/>
      <c r="H49" s="159"/>
      <c r="I49" s="159"/>
      <c r="J49" s="159"/>
      <c r="K49" s="159" t="b">
        <f t="shared" ref="K49:K59" si="25">IF(ISNUMBER(Q154),Q154)</f>
        <v>0</v>
      </c>
      <c r="L49" s="159" t="b">
        <f t="shared" si="20"/>
        <v>0</v>
      </c>
      <c r="M49" s="159">
        <f t="shared" si="14"/>
        <v>0</v>
      </c>
      <c r="N49" s="159" t="b">
        <f t="shared" si="21"/>
        <v>0</v>
      </c>
      <c r="O49" s="159"/>
      <c r="P49" s="168" t="b">
        <f t="shared" si="22"/>
        <v>0</v>
      </c>
      <c r="Q49" s="159" t="b">
        <f t="shared" si="23"/>
        <v>0</v>
      </c>
      <c r="R49" s="159" t="str">
        <f>IF(ISNUMBER(Beta!I50),Beta!I50,"")</f>
        <v/>
      </c>
      <c r="S49" s="159" t="str">
        <f t="shared" si="10"/>
        <v/>
      </c>
      <c r="T49" s="221" t="str">
        <f t="shared" si="11"/>
        <v/>
      </c>
      <c r="U49" s="169" t="str">
        <f>IF(ISNUMBER(Beta!J50),Beta!J50,"")</f>
        <v/>
      </c>
      <c r="V49" s="207" t="str">
        <f>IF(ISNUMBER(Beta!H50),Beta!H50,"")</f>
        <v/>
      </c>
      <c r="W49" s="207" t="str">
        <f>IF(ISNUMBER(Beta!L50),Beta!L50,"")</f>
        <v/>
      </c>
      <c r="X49" s="207" t="str">
        <f t="shared" si="12"/>
        <v/>
      </c>
      <c r="Y49" s="159" t="e">
        <f t="shared" si="24"/>
        <v>#N/A</v>
      </c>
      <c r="Z49" s="110"/>
      <c r="AA49" s="111"/>
      <c r="AB49" s="136"/>
      <c r="AC49" s="95"/>
      <c r="AD49" s="111"/>
      <c r="AE49" s="111"/>
      <c r="AF49" s="111"/>
      <c r="AG49" s="111"/>
      <c r="AH49" s="111"/>
      <c r="AI49" s="95"/>
      <c r="AJ49" s="111"/>
      <c r="AK49" s="111"/>
      <c r="AL49" s="111"/>
      <c r="AM49" s="111"/>
      <c r="AN49" s="111"/>
      <c r="AO49" s="111"/>
      <c r="AP49" s="111"/>
      <c r="AQ49" s="111"/>
      <c r="AR49" s="111"/>
      <c r="AS49" s="111"/>
      <c r="AT49" s="160"/>
    </row>
    <row r="50" spans="1:46" x14ac:dyDescent="0.2">
      <c r="A50" s="313">
        <v>39</v>
      </c>
      <c r="B50" s="222" t="str">
        <f>IF(ISNUMBER(DATA!B51),DATA!B51,"")</f>
        <v/>
      </c>
      <c r="C50" s="225" t="str">
        <f>IF(DATA!D51="&lt;",DATA!D51,"")</f>
        <v/>
      </c>
      <c r="D50" s="478" t="str">
        <f t="shared" si="15"/>
        <v/>
      </c>
      <c r="E50" s="313"/>
      <c r="F50" s="159" t="e">
        <f t="shared" si="19"/>
        <v>#N/A</v>
      </c>
      <c r="G50" s="159"/>
      <c r="H50" s="159"/>
      <c r="I50" s="159"/>
      <c r="J50" s="159"/>
      <c r="K50" s="159" t="b">
        <f t="shared" si="25"/>
        <v>0</v>
      </c>
      <c r="L50" s="159" t="b">
        <f t="shared" si="20"/>
        <v>0</v>
      </c>
      <c r="M50" s="159">
        <f t="shared" si="14"/>
        <v>0</v>
      </c>
      <c r="N50" s="159" t="b">
        <f t="shared" si="21"/>
        <v>0</v>
      </c>
      <c r="O50" s="159"/>
      <c r="P50" s="168" t="b">
        <f t="shared" si="22"/>
        <v>0</v>
      </c>
      <c r="Q50" s="159" t="b">
        <f t="shared" si="23"/>
        <v>0</v>
      </c>
      <c r="R50" s="159" t="str">
        <f>IF(ISNUMBER(Beta!I51),Beta!I51,"")</f>
        <v/>
      </c>
      <c r="S50" s="159" t="str">
        <f t="shared" si="10"/>
        <v/>
      </c>
      <c r="T50" s="221" t="str">
        <f t="shared" si="11"/>
        <v/>
      </c>
      <c r="U50" s="169" t="str">
        <f>IF(ISNUMBER(Beta!J51),Beta!J51,"")</f>
        <v/>
      </c>
      <c r="V50" s="207" t="str">
        <f>IF(ISNUMBER(Beta!H51),Beta!H51,"")</f>
        <v/>
      </c>
      <c r="W50" s="207" t="str">
        <f>IF(ISNUMBER(Beta!L51),Beta!L51,"")</f>
        <v/>
      </c>
      <c r="X50" s="207" t="str">
        <f t="shared" si="12"/>
        <v/>
      </c>
      <c r="Y50" s="159" t="e">
        <f t="shared" si="24"/>
        <v>#N/A</v>
      </c>
      <c r="Z50" s="110"/>
      <c r="AA50" s="111"/>
      <c r="AB50" s="136"/>
      <c r="AC50" s="95"/>
      <c r="AD50" s="111"/>
      <c r="AE50" s="111"/>
      <c r="AF50" s="111"/>
      <c r="AG50" s="111"/>
      <c r="AH50" s="111"/>
      <c r="AI50" s="95"/>
      <c r="AJ50" s="111"/>
      <c r="AK50" s="111"/>
      <c r="AL50" s="111"/>
      <c r="AM50" s="111"/>
      <c r="AN50" s="111"/>
      <c r="AO50" s="111"/>
      <c r="AP50" s="111"/>
      <c r="AQ50" s="111"/>
      <c r="AR50" s="111"/>
      <c r="AS50" s="111"/>
      <c r="AT50" s="160"/>
    </row>
    <row r="51" spans="1:46" x14ac:dyDescent="0.2">
      <c r="A51" s="313">
        <v>40</v>
      </c>
      <c r="B51" s="222" t="str">
        <f>IF(ISNUMBER(DATA!B52),DATA!B52,"")</f>
        <v/>
      </c>
      <c r="C51" s="225" t="str">
        <f>IF(DATA!D52="&lt;",DATA!D52,"")</f>
        <v/>
      </c>
      <c r="D51" s="478" t="str">
        <f t="shared" si="15"/>
        <v/>
      </c>
      <c r="E51" s="313"/>
      <c r="F51" s="159" t="e">
        <f t="shared" si="19"/>
        <v>#N/A</v>
      </c>
      <c r="G51" s="159"/>
      <c r="H51" s="159"/>
      <c r="I51" s="159"/>
      <c r="J51" s="159"/>
      <c r="K51" s="159" t="b">
        <f t="shared" si="25"/>
        <v>0</v>
      </c>
      <c r="L51" s="159" t="b">
        <f t="shared" si="20"/>
        <v>0</v>
      </c>
      <c r="M51" s="159">
        <f t="shared" si="14"/>
        <v>0</v>
      </c>
      <c r="N51" s="159" t="b">
        <f t="shared" si="21"/>
        <v>0</v>
      </c>
      <c r="O51" s="159"/>
      <c r="P51" s="168" t="b">
        <f t="shared" si="22"/>
        <v>0</v>
      </c>
      <c r="Q51" s="159" t="b">
        <f t="shared" si="23"/>
        <v>0</v>
      </c>
      <c r="R51" s="159" t="str">
        <f>IF(ISNUMBER(Beta!I52),Beta!I52,"")</f>
        <v/>
      </c>
      <c r="S51" s="159" t="str">
        <f t="shared" si="10"/>
        <v/>
      </c>
      <c r="T51" s="221" t="str">
        <f t="shared" si="11"/>
        <v/>
      </c>
      <c r="U51" s="169" t="str">
        <f>IF(ISNUMBER(Beta!J52),Beta!J52,"")</f>
        <v/>
      </c>
      <c r="V51" s="207" t="str">
        <f>IF(ISNUMBER(Beta!H52),Beta!H52,"")</f>
        <v/>
      </c>
      <c r="W51" s="207" t="str">
        <f>IF(ISNUMBER(Beta!L52),Beta!L52,"")</f>
        <v/>
      </c>
      <c r="X51" s="207" t="str">
        <f t="shared" si="12"/>
        <v/>
      </c>
      <c r="Y51" s="159" t="e">
        <f t="shared" si="24"/>
        <v>#N/A</v>
      </c>
      <c r="Z51" s="110"/>
      <c r="AA51" s="111"/>
      <c r="AB51" s="136"/>
      <c r="AC51" s="95"/>
      <c r="AD51" s="111"/>
      <c r="AE51" s="111"/>
      <c r="AF51" s="111"/>
      <c r="AG51" s="111"/>
      <c r="AH51" s="111"/>
      <c r="AI51" s="95"/>
      <c r="AJ51" s="111"/>
      <c r="AK51" s="111"/>
      <c r="AL51" s="111"/>
      <c r="AM51" s="111"/>
      <c r="AN51" s="111"/>
      <c r="AO51" s="111"/>
      <c r="AP51" s="111"/>
      <c r="AQ51" s="111"/>
      <c r="AR51" s="111"/>
      <c r="AS51" s="111"/>
      <c r="AT51" s="160"/>
    </row>
    <row r="52" spans="1:46" x14ac:dyDescent="0.2">
      <c r="A52" s="313">
        <v>41</v>
      </c>
      <c r="B52" s="222" t="str">
        <f>IF(ISNUMBER(DATA!B53),DATA!B53,"")</f>
        <v/>
      </c>
      <c r="C52" s="225" t="str">
        <f>IF(DATA!D53="&lt;",DATA!D53,"")</f>
        <v/>
      </c>
      <c r="D52" s="478" t="str">
        <f t="shared" si="15"/>
        <v/>
      </c>
      <c r="E52" s="313"/>
      <c r="F52" s="159" t="e">
        <f t="shared" si="19"/>
        <v>#N/A</v>
      </c>
      <c r="G52" s="159"/>
      <c r="H52" s="159"/>
      <c r="I52" s="159"/>
      <c r="J52" s="159"/>
      <c r="K52" s="159" t="b">
        <f t="shared" si="25"/>
        <v>0</v>
      </c>
      <c r="L52" s="159" t="b">
        <f t="shared" si="20"/>
        <v>0</v>
      </c>
      <c r="M52" s="159">
        <f t="shared" si="14"/>
        <v>0</v>
      </c>
      <c r="N52" s="159" t="b">
        <f t="shared" si="21"/>
        <v>0</v>
      </c>
      <c r="O52" s="159"/>
      <c r="P52" s="168" t="b">
        <f t="shared" si="22"/>
        <v>0</v>
      </c>
      <c r="Q52" s="159" t="b">
        <f t="shared" si="23"/>
        <v>0</v>
      </c>
      <c r="R52" s="159" t="str">
        <f>IF(ISNUMBER(Beta!I53),Beta!I53,"")</f>
        <v/>
      </c>
      <c r="S52" s="159" t="str">
        <f t="shared" si="10"/>
        <v/>
      </c>
      <c r="T52" s="221" t="str">
        <f t="shared" si="11"/>
        <v/>
      </c>
      <c r="U52" s="169" t="str">
        <f>IF(ISNUMBER(Beta!J53),Beta!J53,"")</f>
        <v/>
      </c>
      <c r="V52" s="207" t="str">
        <f>IF(ISNUMBER(Beta!H53),Beta!H53,"")</f>
        <v/>
      </c>
      <c r="W52" s="207" t="str">
        <f>IF(ISNUMBER(Beta!L53),Beta!L53,"")</f>
        <v/>
      </c>
      <c r="X52" s="207" t="str">
        <f t="shared" si="12"/>
        <v/>
      </c>
      <c r="Y52" s="159" t="e">
        <f t="shared" si="24"/>
        <v>#N/A</v>
      </c>
      <c r="Z52" s="110"/>
      <c r="AA52" s="111"/>
      <c r="AB52" s="136"/>
      <c r="AC52" s="95"/>
      <c r="AD52" s="111"/>
      <c r="AE52" s="111"/>
      <c r="AF52" s="111"/>
      <c r="AG52" s="111"/>
      <c r="AH52" s="111"/>
      <c r="AI52" s="95"/>
      <c r="AJ52" s="111"/>
      <c r="AK52" s="111"/>
      <c r="AL52" s="111"/>
      <c r="AM52" s="111"/>
      <c r="AN52" s="111"/>
      <c r="AO52" s="111"/>
      <c r="AP52" s="111"/>
      <c r="AQ52" s="111"/>
      <c r="AR52" s="111"/>
      <c r="AS52" s="111"/>
      <c r="AT52" s="160"/>
    </row>
    <row r="53" spans="1:46" x14ac:dyDescent="0.2">
      <c r="A53" s="313">
        <v>42</v>
      </c>
      <c r="B53" s="222" t="str">
        <f>IF(ISNUMBER(DATA!B54),DATA!B54,"")</f>
        <v/>
      </c>
      <c r="C53" s="225" t="str">
        <f>IF(DATA!D54="&lt;",DATA!D54,"")</f>
        <v/>
      </c>
      <c r="D53" s="478" t="str">
        <f t="shared" si="15"/>
        <v/>
      </c>
      <c r="E53" s="313"/>
      <c r="F53" s="159" t="e">
        <f t="shared" si="19"/>
        <v>#N/A</v>
      </c>
      <c r="G53" s="159"/>
      <c r="H53" s="159"/>
      <c r="I53" s="159"/>
      <c r="J53" s="159"/>
      <c r="K53" s="159" t="b">
        <f t="shared" si="25"/>
        <v>0</v>
      </c>
      <c r="L53" s="159" t="b">
        <f t="shared" si="20"/>
        <v>0</v>
      </c>
      <c r="M53" s="159">
        <f t="shared" si="14"/>
        <v>0</v>
      </c>
      <c r="N53" s="159" t="b">
        <f t="shared" si="21"/>
        <v>0</v>
      </c>
      <c r="O53" s="159"/>
      <c r="P53" s="168" t="b">
        <f t="shared" si="22"/>
        <v>0</v>
      </c>
      <c r="Q53" s="159" t="b">
        <f t="shared" si="23"/>
        <v>0</v>
      </c>
      <c r="R53" s="159" t="str">
        <f>IF(ISNUMBER(Beta!I54),Beta!I54,"")</f>
        <v/>
      </c>
      <c r="S53" s="159" t="str">
        <f t="shared" si="10"/>
        <v/>
      </c>
      <c r="T53" s="221" t="str">
        <f t="shared" si="11"/>
        <v/>
      </c>
      <c r="U53" s="169" t="str">
        <f>IF(ISNUMBER(Beta!J54),Beta!J54,"")</f>
        <v/>
      </c>
      <c r="V53" s="207" t="str">
        <f>IF(ISNUMBER(Beta!H54),Beta!H54,"")</f>
        <v/>
      </c>
      <c r="W53" s="207" t="str">
        <f>IF(ISNUMBER(Beta!L54),Beta!L54,"")</f>
        <v/>
      </c>
      <c r="X53" s="207" t="str">
        <f t="shared" si="12"/>
        <v/>
      </c>
      <c r="Y53" s="159" t="e">
        <f t="shared" si="24"/>
        <v>#N/A</v>
      </c>
      <c r="Z53" s="110"/>
      <c r="AA53" s="111"/>
      <c r="AB53" s="136"/>
      <c r="AC53" s="95"/>
      <c r="AD53" s="111"/>
      <c r="AE53" s="111"/>
      <c r="AF53" s="111"/>
      <c r="AG53" s="111"/>
      <c r="AH53" s="111"/>
      <c r="AI53" s="95"/>
      <c r="AJ53" s="111"/>
      <c r="AK53" s="111"/>
      <c r="AL53" s="111"/>
      <c r="AM53" s="111"/>
      <c r="AN53" s="111"/>
      <c r="AO53" s="111"/>
      <c r="AP53" s="111"/>
      <c r="AQ53" s="111"/>
      <c r="AR53" s="111"/>
      <c r="AS53" s="111"/>
      <c r="AT53" s="160"/>
    </row>
    <row r="54" spans="1:46" x14ac:dyDescent="0.2">
      <c r="A54" s="313">
        <v>43</v>
      </c>
      <c r="B54" s="222" t="str">
        <f>IF(ISNUMBER(DATA!B55),DATA!B55,"")</f>
        <v/>
      </c>
      <c r="C54" s="225" t="str">
        <f>IF(DATA!D55="&lt;",DATA!D55,"")</f>
        <v/>
      </c>
      <c r="D54" s="478" t="str">
        <f t="shared" si="15"/>
        <v/>
      </c>
      <c r="E54" s="313"/>
      <c r="F54" s="159" t="e">
        <f t="shared" si="19"/>
        <v>#N/A</v>
      </c>
      <c r="G54" s="159"/>
      <c r="H54" s="159"/>
      <c r="I54" s="159"/>
      <c r="J54" s="159"/>
      <c r="K54" s="159" t="b">
        <f t="shared" si="25"/>
        <v>0</v>
      </c>
      <c r="L54" s="159" t="b">
        <f t="shared" si="20"/>
        <v>0</v>
      </c>
      <c r="M54" s="159">
        <f t="shared" si="14"/>
        <v>0</v>
      </c>
      <c r="N54" s="159" t="b">
        <f t="shared" si="21"/>
        <v>0</v>
      </c>
      <c r="O54" s="159"/>
      <c r="P54" s="168" t="b">
        <f t="shared" si="22"/>
        <v>0</v>
      </c>
      <c r="Q54" s="159" t="b">
        <f t="shared" si="23"/>
        <v>0</v>
      </c>
      <c r="R54" s="159" t="str">
        <f>IF(ISNUMBER(Beta!I55),Beta!I55,"")</f>
        <v/>
      </c>
      <c r="S54" s="159" t="str">
        <f t="shared" si="10"/>
        <v/>
      </c>
      <c r="T54" s="221" t="str">
        <f t="shared" si="11"/>
        <v/>
      </c>
      <c r="U54" s="169" t="str">
        <f>IF(ISNUMBER(Beta!J55),Beta!J55,"")</f>
        <v/>
      </c>
      <c r="V54" s="207" t="str">
        <f>IF(ISNUMBER(Beta!H55),Beta!H55,"")</f>
        <v/>
      </c>
      <c r="W54" s="207" t="str">
        <f>IF(ISNUMBER(Beta!L55),Beta!L55,"")</f>
        <v/>
      </c>
      <c r="X54" s="207" t="str">
        <f t="shared" si="12"/>
        <v/>
      </c>
      <c r="Y54" s="159" t="e">
        <f t="shared" si="24"/>
        <v>#N/A</v>
      </c>
      <c r="Z54" s="110"/>
      <c r="AA54" s="111"/>
      <c r="AB54" s="136"/>
      <c r="AC54" s="95"/>
      <c r="AD54" s="111"/>
      <c r="AE54" s="111"/>
      <c r="AF54" s="111"/>
      <c r="AG54" s="111"/>
      <c r="AH54" s="111"/>
      <c r="AI54" s="95"/>
      <c r="AJ54" s="111"/>
      <c r="AK54" s="111"/>
      <c r="AL54" s="111"/>
      <c r="AM54" s="111"/>
      <c r="AN54" s="111"/>
      <c r="AO54" s="111"/>
      <c r="AP54" s="111"/>
      <c r="AQ54" s="111"/>
      <c r="AR54" s="111"/>
      <c r="AS54" s="111"/>
      <c r="AT54" s="160"/>
    </row>
    <row r="55" spans="1:46" x14ac:dyDescent="0.2">
      <c r="A55" s="313">
        <v>44</v>
      </c>
      <c r="B55" s="222" t="str">
        <f>IF(ISNUMBER(DATA!B56),DATA!B56,"")</f>
        <v/>
      </c>
      <c r="C55" s="225" t="str">
        <f>IF(DATA!D56="&lt;",DATA!D56,"")</f>
        <v/>
      </c>
      <c r="D55" s="478" t="str">
        <f t="shared" si="15"/>
        <v/>
      </c>
      <c r="E55" s="313"/>
      <c r="F55" s="159" t="e">
        <f t="shared" si="19"/>
        <v>#N/A</v>
      </c>
      <c r="G55" s="159"/>
      <c r="H55" s="159"/>
      <c r="I55" s="159"/>
      <c r="J55" s="159"/>
      <c r="K55" s="159" t="b">
        <f t="shared" si="25"/>
        <v>0</v>
      </c>
      <c r="L55" s="159" t="b">
        <f t="shared" si="20"/>
        <v>0</v>
      </c>
      <c r="M55" s="159">
        <f t="shared" si="14"/>
        <v>0</v>
      </c>
      <c r="N55" s="159" t="b">
        <f t="shared" si="21"/>
        <v>0</v>
      </c>
      <c r="O55" s="159"/>
      <c r="P55" s="168" t="b">
        <f t="shared" si="22"/>
        <v>0</v>
      </c>
      <c r="Q55" s="159" t="b">
        <f t="shared" si="23"/>
        <v>0</v>
      </c>
      <c r="R55" s="159" t="str">
        <f>IF(ISNUMBER(Beta!I56),Beta!I56,"")</f>
        <v/>
      </c>
      <c r="S55" s="159" t="str">
        <f t="shared" si="10"/>
        <v/>
      </c>
      <c r="T55" s="221" t="str">
        <f t="shared" si="11"/>
        <v/>
      </c>
      <c r="U55" s="169" t="str">
        <f>IF(ISNUMBER(Beta!J56),Beta!J56,"")</f>
        <v/>
      </c>
      <c r="V55" s="207" t="str">
        <f>IF(ISNUMBER(Beta!H56),Beta!H56,"")</f>
        <v/>
      </c>
      <c r="W55" s="207" t="str">
        <f>IF(ISNUMBER(Beta!L56),Beta!L56,"")</f>
        <v/>
      </c>
      <c r="X55" s="207" t="str">
        <f t="shared" si="12"/>
        <v/>
      </c>
      <c r="Y55" s="159" t="e">
        <f t="shared" si="24"/>
        <v>#N/A</v>
      </c>
      <c r="Z55" s="110"/>
      <c r="AA55" s="111"/>
      <c r="AB55" s="136"/>
      <c r="AC55" s="95"/>
      <c r="AD55" s="111"/>
      <c r="AE55" s="111"/>
      <c r="AF55" s="111"/>
      <c r="AG55" s="111"/>
      <c r="AH55" s="111"/>
      <c r="AI55" s="95"/>
      <c r="AJ55" s="111"/>
      <c r="AK55" s="111"/>
      <c r="AL55" s="111"/>
      <c r="AM55" s="111"/>
      <c r="AN55" s="111"/>
      <c r="AO55" s="111"/>
      <c r="AP55" s="111"/>
      <c r="AQ55" s="111"/>
      <c r="AR55" s="111"/>
      <c r="AS55" s="111"/>
      <c r="AT55" s="160"/>
    </row>
    <row r="56" spans="1:46" x14ac:dyDescent="0.2">
      <c r="A56" s="313">
        <v>45</v>
      </c>
      <c r="B56" s="222" t="str">
        <f>IF(ISNUMBER(DATA!B57),DATA!B57,"")</f>
        <v/>
      </c>
      <c r="C56" s="225" t="str">
        <f>IF(DATA!D57="&lt;",DATA!D57,"")</f>
        <v/>
      </c>
      <c r="D56" s="478" t="str">
        <f t="shared" si="15"/>
        <v/>
      </c>
      <c r="E56" s="313"/>
      <c r="F56" s="159" t="e">
        <f t="shared" si="19"/>
        <v>#N/A</v>
      </c>
      <c r="G56" s="159"/>
      <c r="H56" s="159"/>
      <c r="I56" s="159"/>
      <c r="J56" s="159"/>
      <c r="K56" s="159" t="b">
        <f t="shared" si="25"/>
        <v>0</v>
      </c>
      <c r="L56" s="159" t="b">
        <f t="shared" si="20"/>
        <v>0</v>
      </c>
      <c r="M56" s="159">
        <f t="shared" si="14"/>
        <v>0</v>
      </c>
      <c r="N56" s="159" t="b">
        <f t="shared" si="21"/>
        <v>0</v>
      </c>
      <c r="O56" s="159"/>
      <c r="P56" s="168" t="b">
        <f t="shared" si="22"/>
        <v>0</v>
      </c>
      <c r="Q56" s="159" t="b">
        <f t="shared" si="23"/>
        <v>0</v>
      </c>
      <c r="R56" s="159" t="str">
        <f>IF(ISNUMBER(Beta!I57),Beta!I57,"")</f>
        <v/>
      </c>
      <c r="S56" s="159" t="str">
        <f t="shared" si="10"/>
        <v/>
      </c>
      <c r="T56" s="221" t="str">
        <f t="shared" si="11"/>
        <v/>
      </c>
      <c r="U56" s="169" t="str">
        <f>IF(ISNUMBER(Beta!J57),Beta!J57,"")</f>
        <v/>
      </c>
      <c r="V56" s="207" t="str">
        <f>IF(ISNUMBER(Beta!H57),Beta!H57,"")</f>
        <v/>
      </c>
      <c r="W56" s="207" t="str">
        <f>IF(ISNUMBER(Beta!L57),Beta!L57,"")</f>
        <v/>
      </c>
      <c r="X56" s="207" t="str">
        <f t="shared" si="12"/>
        <v/>
      </c>
      <c r="Y56" s="159" t="e">
        <f t="shared" si="24"/>
        <v>#N/A</v>
      </c>
      <c r="Z56" s="110"/>
      <c r="AA56" s="111"/>
      <c r="AB56" s="136"/>
      <c r="AC56" s="95"/>
      <c r="AD56" s="111"/>
      <c r="AE56" s="111"/>
      <c r="AF56" s="111"/>
      <c r="AG56" s="111"/>
      <c r="AH56" s="111"/>
      <c r="AI56" s="95"/>
      <c r="AJ56" s="111"/>
      <c r="AK56" s="111"/>
      <c r="AL56" s="111"/>
      <c r="AM56" s="111"/>
      <c r="AN56" s="111"/>
      <c r="AO56" s="111"/>
      <c r="AP56" s="111"/>
      <c r="AQ56" s="111"/>
      <c r="AR56" s="111"/>
      <c r="AS56" s="111"/>
      <c r="AT56" s="160"/>
    </row>
    <row r="57" spans="1:46" x14ac:dyDescent="0.2">
      <c r="A57" s="313">
        <v>46</v>
      </c>
      <c r="B57" s="222" t="str">
        <f>IF(ISNUMBER(DATA!B58),DATA!B58,"")</f>
        <v/>
      </c>
      <c r="C57" s="225" t="str">
        <f>IF(DATA!D58="&lt;",DATA!D58,"")</f>
        <v/>
      </c>
      <c r="D57" s="478" t="str">
        <f t="shared" si="15"/>
        <v/>
      </c>
      <c r="E57" s="313"/>
      <c r="F57" s="159" t="e">
        <f t="shared" si="19"/>
        <v>#N/A</v>
      </c>
      <c r="G57" s="159"/>
      <c r="H57" s="159"/>
      <c r="I57" s="159"/>
      <c r="J57" s="159"/>
      <c r="K57" s="159" t="b">
        <f t="shared" si="25"/>
        <v>0</v>
      </c>
      <c r="L57" s="159" t="b">
        <f t="shared" si="20"/>
        <v>0</v>
      </c>
      <c r="M57" s="159">
        <f t="shared" si="14"/>
        <v>0</v>
      </c>
      <c r="N57" s="159" t="b">
        <f t="shared" si="21"/>
        <v>0</v>
      </c>
      <c r="O57" s="159"/>
      <c r="P57" s="168" t="b">
        <f t="shared" si="22"/>
        <v>0</v>
      </c>
      <c r="Q57" s="159" t="b">
        <f t="shared" si="23"/>
        <v>0</v>
      </c>
      <c r="R57" s="159" t="str">
        <f>IF(ISNUMBER(Beta!I58),Beta!I58,"")</f>
        <v/>
      </c>
      <c r="S57" s="159" t="str">
        <f t="shared" si="10"/>
        <v/>
      </c>
      <c r="T57" s="221" t="str">
        <f t="shared" si="11"/>
        <v/>
      </c>
      <c r="U57" s="169" t="str">
        <f>IF(ISNUMBER(Beta!J58),Beta!J58,"")</f>
        <v/>
      </c>
      <c r="V57" s="207" t="str">
        <f>IF(ISNUMBER(Beta!H58),Beta!H58,"")</f>
        <v/>
      </c>
      <c r="W57" s="207" t="str">
        <f>IF(ISNUMBER(Beta!L58),Beta!L58,"")</f>
        <v/>
      </c>
      <c r="X57" s="207" t="str">
        <f t="shared" si="12"/>
        <v/>
      </c>
      <c r="Y57" s="159" t="e">
        <f t="shared" si="24"/>
        <v>#N/A</v>
      </c>
      <c r="Z57" s="110"/>
      <c r="AA57" s="111"/>
      <c r="AB57" s="136"/>
      <c r="AC57" s="95"/>
      <c r="AD57" s="111"/>
      <c r="AE57" s="111"/>
      <c r="AF57" s="111"/>
      <c r="AG57" s="111"/>
      <c r="AH57" s="111"/>
      <c r="AI57" s="95"/>
      <c r="AJ57" s="111"/>
      <c r="AK57" s="111"/>
      <c r="AL57" s="111"/>
      <c r="AM57" s="111"/>
      <c r="AN57" s="111"/>
      <c r="AO57" s="111"/>
      <c r="AP57" s="111"/>
      <c r="AQ57" s="111"/>
      <c r="AR57" s="111"/>
      <c r="AS57" s="111"/>
      <c r="AT57" s="160"/>
    </row>
    <row r="58" spans="1:46" x14ac:dyDescent="0.2">
      <c r="A58" s="313">
        <v>47</v>
      </c>
      <c r="B58" s="222" t="str">
        <f>IF(ISNUMBER(DATA!B59),DATA!B59,"")</f>
        <v/>
      </c>
      <c r="C58" s="225" t="str">
        <f>IF(DATA!D59="&lt;",DATA!D59,"")</f>
        <v/>
      </c>
      <c r="D58" s="478" t="str">
        <f t="shared" si="15"/>
        <v/>
      </c>
      <c r="E58" s="313"/>
      <c r="F58" s="159" t="e">
        <f t="shared" si="19"/>
        <v>#N/A</v>
      </c>
      <c r="G58" s="159"/>
      <c r="H58" s="159"/>
      <c r="I58" s="159"/>
      <c r="J58" s="159"/>
      <c r="K58" s="159" t="b">
        <f t="shared" si="25"/>
        <v>0</v>
      </c>
      <c r="L58" s="159" t="b">
        <f t="shared" si="20"/>
        <v>0</v>
      </c>
      <c r="M58" s="159">
        <f t="shared" si="14"/>
        <v>0</v>
      </c>
      <c r="N58" s="159" t="b">
        <f t="shared" si="21"/>
        <v>0</v>
      </c>
      <c r="O58" s="159"/>
      <c r="P58" s="168" t="b">
        <f t="shared" si="22"/>
        <v>0</v>
      </c>
      <c r="Q58" s="159" t="b">
        <f t="shared" si="23"/>
        <v>0</v>
      </c>
      <c r="R58" s="159" t="str">
        <f>IF(ISNUMBER(Beta!I59),Beta!I59,"")</f>
        <v/>
      </c>
      <c r="S58" s="159" t="str">
        <f t="shared" si="10"/>
        <v/>
      </c>
      <c r="T58" s="221" t="str">
        <f t="shared" si="11"/>
        <v/>
      </c>
      <c r="U58" s="169" t="str">
        <f>IF(ISNUMBER(Beta!J59),Beta!J59,"")</f>
        <v/>
      </c>
      <c r="V58" s="207" t="str">
        <f>IF(ISNUMBER(Beta!H59),Beta!H59,"")</f>
        <v/>
      </c>
      <c r="W58" s="207" t="str">
        <f>IF(ISNUMBER(Beta!L59),Beta!L59,"")</f>
        <v/>
      </c>
      <c r="X58" s="207" t="str">
        <f t="shared" si="12"/>
        <v/>
      </c>
      <c r="Y58" s="159" t="e">
        <f t="shared" si="24"/>
        <v>#N/A</v>
      </c>
      <c r="Z58" s="110"/>
      <c r="AA58" s="111"/>
      <c r="AB58" s="136"/>
      <c r="AC58" s="95"/>
      <c r="AD58" s="111"/>
      <c r="AE58" s="111"/>
      <c r="AF58" s="111"/>
      <c r="AG58" s="111"/>
      <c r="AH58" s="111"/>
      <c r="AI58" s="95"/>
      <c r="AJ58" s="111"/>
      <c r="AK58" s="111"/>
      <c r="AL58" s="111"/>
      <c r="AM58" s="111"/>
      <c r="AN58" s="111"/>
      <c r="AO58" s="111"/>
      <c r="AP58" s="111"/>
      <c r="AQ58" s="111"/>
      <c r="AR58" s="111"/>
      <c r="AS58" s="111"/>
      <c r="AT58" s="160"/>
    </row>
    <row r="59" spans="1:46" x14ac:dyDescent="0.2">
      <c r="A59" s="313">
        <v>48</v>
      </c>
      <c r="B59" s="222" t="str">
        <f>IF(ISNUMBER(DATA!B60),DATA!B60,"")</f>
        <v/>
      </c>
      <c r="C59" s="225" t="str">
        <f>IF(DATA!D60="&lt;",DATA!D60,"")</f>
        <v/>
      </c>
      <c r="D59" s="478" t="str">
        <f t="shared" si="15"/>
        <v/>
      </c>
      <c r="E59" s="313"/>
      <c r="F59" s="159" t="e">
        <f t="shared" si="19"/>
        <v>#N/A</v>
      </c>
      <c r="G59" s="159"/>
      <c r="H59" s="159"/>
      <c r="I59" s="159"/>
      <c r="J59" s="159"/>
      <c r="K59" s="159" t="b">
        <f t="shared" si="25"/>
        <v>0</v>
      </c>
      <c r="L59" s="159" t="b">
        <f t="shared" si="20"/>
        <v>0</v>
      </c>
      <c r="M59" s="159">
        <f t="shared" si="14"/>
        <v>0</v>
      </c>
      <c r="N59" s="159" t="b">
        <f t="shared" si="21"/>
        <v>0</v>
      </c>
      <c r="O59" s="159"/>
      <c r="P59" s="168" t="b">
        <f t="shared" si="22"/>
        <v>0</v>
      </c>
      <c r="Q59" s="159" t="b">
        <f t="shared" si="23"/>
        <v>0</v>
      </c>
      <c r="R59" s="159" t="str">
        <f>IF(ISNUMBER(Beta!I60),Beta!I60,"")</f>
        <v/>
      </c>
      <c r="S59" s="159" t="str">
        <f t="shared" si="10"/>
        <v/>
      </c>
      <c r="T59" s="221" t="str">
        <f t="shared" si="11"/>
        <v/>
      </c>
      <c r="U59" s="169" t="str">
        <f>IF(ISNUMBER(Beta!J60),Beta!J60,"")</f>
        <v/>
      </c>
      <c r="V59" s="207" t="str">
        <f>IF(ISNUMBER(Beta!H60),Beta!H60,"")</f>
        <v/>
      </c>
      <c r="W59" s="207" t="str">
        <f>IF(ISNUMBER(Beta!L60),Beta!L60,"")</f>
        <v/>
      </c>
      <c r="X59" s="207" t="str">
        <f t="shared" si="12"/>
        <v/>
      </c>
      <c r="Y59" s="159" t="e">
        <f t="shared" si="24"/>
        <v>#N/A</v>
      </c>
      <c r="Z59" s="110"/>
      <c r="AA59" s="111"/>
      <c r="AB59" s="136"/>
      <c r="AC59" s="95"/>
      <c r="AD59" s="111"/>
      <c r="AE59" s="111"/>
      <c r="AF59" s="111"/>
      <c r="AG59" s="111"/>
      <c r="AH59" s="111"/>
      <c r="AI59" s="95"/>
      <c r="AJ59" s="111"/>
      <c r="AK59" s="111"/>
      <c r="AL59" s="111"/>
      <c r="AM59" s="111"/>
      <c r="AN59" s="111"/>
      <c r="AO59" s="111"/>
      <c r="AP59" s="111"/>
      <c r="AQ59" s="111"/>
      <c r="AR59" s="111"/>
      <c r="AS59" s="111"/>
      <c r="AT59" s="160"/>
    </row>
    <row r="60" spans="1:46" x14ac:dyDescent="0.2">
      <c r="A60" s="313">
        <v>49</v>
      </c>
      <c r="B60" s="222" t="str">
        <f>IF(ISNUMBER(DATA!B61),DATA!B61,"")</f>
        <v/>
      </c>
      <c r="C60" s="225" t="str">
        <f>IF(DATA!D61="&lt;",DATA!D61,"")</f>
        <v/>
      </c>
      <c r="D60" s="478" t="str">
        <f t="shared" si="15"/>
        <v/>
      </c>
      <c r="E60" s="313"/>
      <c r="F60" s="159"/>
      <c r="G60" s="159"/>
      <c r="H60" s="159"/>
      <c r="I60" s="159"/>
      <c r="J60" s="159"/>
      <c r="K60" s="159"/>
      <c r="L60" s="159"/>
      <c r="M60" s="159"/>
      <c r="N60" s="159"/>
      <c r="O60" s="159"/>
      <c r="P60" s="159"/>
      <c r="Q60" s="159"/>
      <c r="R60" s="159"/>
      <c r="S60" s="159"/>
      <c r="T60" s="221"/>
      <c r="U60" s="159"/>
      <c r="V60" s="207"/>
      <c r="W60" s="207"/>
      <c r="X60" s="207"/>
      <c r="Y60" s="207"/>
      <c r="Z60" s="110"/>
      <c r="AA60" s="111"/>
      <c r="AB60" s="136"/>
      <c r="AC60" s="95"/>
      <c r="AD60" s="111"/>
      <c r="AE60" s="111"/>
      <c r="AF60" s="111"/>
      <c r="AG60" s="111"/>
      <c r="AH60" s="111"/>
      <c r="AI60" s="95"/>
      <c r="AJ60" s="111"/>
      <c r="AK60" s="111"/>
      <c r="AL60" s="111"/>
      <c r="AM60" s="111"/>
      <c r="AN60" s="111"/>
      <c r="AO60" s="111"/>
      <c r="AP60" s="111"/>
      <c r="AQ60" s="111"/>
      <c r="AR60" s="111"/>
      <c r="AS60" s="111"/>
      <c r="AT60" s="160"/>
    </row>
    <row r="61" spans="1:46" ht="15" thickBot="1" x14ac:dyDescent="0.25">
      <c r="A61" s="317">
        <v>50</v>
      </c>
      <c r="B61" s="223" t="str">
        <f>IF(ISNUMBER(DATA!B62),DATA!B62,"")</f>
        <v/>
      </c>
      <c r="C61" s="226" t="str">
        <f>IF(DATA!D62="&lt;",DATA!D62,"")</f>
        <v/>
      </c>
      <c r="D61" s="479" t="str">
        <f t="shared" si="15"/>
        <v/>
      </c>
      <c r="E61" s="313"/>
      <c r="F61" s="159"/>
      <c r="G61" s="159"/>
      <c r="H61" s="159"/>
      <c r="I61" s="159"/>
      <c r="J61" s="159"/>
      <c r="K61" s="159"/>
      <c r="L61" s="159"/>
      <c r="M61" s="159"/>
      <c r="N61" s="159"/>
      <c r="O61" s="159" t="s">
        <v>14</v>
      </c>
      <c r="P61" s="168">
        <f>SUM(P9:P59)</f>
        <v>1.3896295085018388E-3</v>
      </c>
      <c r="Q61" s="168">
        <f>SUM(Q9:Q59)</f>
        <v>7.7132540890296291</v>
      </c>
      <c r="R61" s="168"/>
      <c r="S61" s="168"/>
      <c r="T61" s="221"/>
      <c r="U61" s="159"/>
      <c r="V61" s="207"/>
      <c r="W61" s="207"/>
      <c r="X61" s="207"/>
      <c r="Y61" s="207"/>
      <c r="Z61" s="110"/>
      <c r="AA61" s="132"/>
      <c r="AB61" s="136"/>
      <c r="AC61" s="95"/>
      <c r="AD61" s="111"/>
      <c r="AE61" s="111"/>
      <c r="AF61" s="111"/>
      <c r="AG61" s="111"/>
      <c r="AH61" s="111"/>
      <c r="AI61" s="95"/>
      <c r="AJ61" s="111"/>
      <c r="AK61" s="111"/>
      <c r="AL61" s="111"/>
      <c r="AM61" s="111"/>
      <c r="AN61" s="111"/>
      <c r="AO61" s="111"/>
      <c r="AP61" s="111"/>
      <c r="AQ61" s="111"/>
      <c r="AR61" s="111"/>
      <c r="AS61" s="111"/>
      <c r="AT61" s="160"/>
    </row>
    <row r="62" spans="1:46" x14ac:dyDescent="0.2">
      <c r="A62" s="313"/>
      <c r="B62" s="111"/>
      <c r="C62" s="111"/>
      <c r="D62" s="111"/>
      <c r="E62" s="313"/>
      <c r="F62" s="159"/>
      <c r="G62" s="159"/>
      <c r="H62" s="159"/>
      <c r="I62" s="159"/>
      <c r="J62" s="159"/>
      <c r="K62" s="159"/>
      <c r="L62" s="159"/>
      <c r="M62" s="159"/>
      <c r="N62" s="159"/>
      <c r="O62" s="159"/>
      <c r="P62" s="159"/>
      <c r="Q62" s="159"/>
      <c r="R62" s="159"/>
      <c r="S62" s="159"/>
      <c r="T62" s="159"/>
      <c r="U62" s="159"/>
      <c r="V62" s="207"/>
      <c r="W62" s="207"/>
      <c r="X62" s="207"/>
      <c r="Y62" s="159"/>
      <c r="Z62" s="110"/>
      <c r="AA62" s="132"/>
      <c r="AB62" s="136"/>
      <c r="AC62" s="95"/>
      <c r="AD62" s="111"/>
      <c r="AE62" s="111"/>
      <c r="AF62" s="111"/>
      <c r="AG62" s="111"/>
      <c r="AH62" s="111"/>
      <c r="AI62" s="95"/>
      <c r="AJ62" s="111"/>
      <c r="AK62" s="111"/>
      <c r="AL62" s="111"/>
      <c r="AM62" s="111"/>
      <c r="AN62" s="111"/>
      <c r="AO62" s="111"/>
      <c r="AP62" s="111"/>
      <c r="AQ62" s="111"/>
      <c r="AR62" s="111"/>
      <c r="AS62" s="111"/>
      <c r="AT62" s="160"/>
    </row>
    <row r="63" spans="1:46" x14ac:dyDescent="0.2">
      <c r="A63" s="313"/>
      <c r="B63" s="111"/>
      <c r="C63" s="111"/>
      <c r="D63" s="111"/>
      <c r="E63" s="313"/>
      <c r="F63" s="159"/>
      <c r="G63" s="159"/>
      <c r="H63" s="159"/>
      <c r="I63" s="159"/>
      <c r="J63" s="159"/>
      <c r="K63" s="159"/>
      <c r="L63" s="159"/>
      <c r="M63" s="159"/>
      <c r="N63" s="159"/>
      <c r="O63" s="159"/>
      <c r="P63" s="159"/>
      <c r="Q63" s="159"/>
      <c r="R63" s="159"/>
      <c r="S63" s="159"/>
      <c r="T63" s="159"/>
      <c r="U63" s="159"/>
      <c r="V63" s="207"/>
      <c r="W63" s="207"/>
      <c r="X63" s="207"/>
      <c r="Y63" s="159"/>
      <c r="Z63" s="110"/>
      <c r="AA63" s="132"/>
      <c r="AB63" s="136"/>
      <c r="AC63" s="95"/>
      <c r="AD63" s="111"/>
      <c r="AE63" s="111"/>
      <c r="AF63" s="111"/>
      <c r="AG63" s="111"/>
      <c r="AH63" s="111"/>
      <c r="AI63" s="95"/>
      <c r="AJ63" s="111"/>
      <c r="AK63" s="111"/>
      <c r="AL63" s="111"/>
      <c r="AM63" s="111"/>
      <c r="AN63" s="111"/>
      <c r="AO63" s="111"/>
      <c r="AP63" s="111"/>
      <c r="AQ63" s="111"/>
      <c r="AR63" s="111"/>
      <c r="AS63" s="111"/>
      <c r="AT63" s="160"/>
    </row>
    <row r="64" spans="1:46" x14ac:dyDescent="0.2">
      <c r="A64" s="313"/>
      <c r="B64" s="110"/>
      <c r="C64" s="110"/>
      <c r="D64" s="110"/>
      <c r="E64" s="313"/>
      <c r="F64" s="159"/>
      <c r="G64" s="159"/>
      <c r="H64" s="159"/>
      <c r="I64" s="159"/>
      <c r="J64" s="159"/>
      <c r="K64" s="159"/>
      <c r="L64" s="159"/>
      <c r="M64" s="159"/>
      <c r="N64" s="159"/>
      <c r="O64" s="159"/>
      <c r="P64" s="159"/>
      <c r="Q64" s="159"/>
      <c r="R64" s="159"/>
      <c r="S64" s="159"/>
      <c r="T64" s="159"/>
      <c r="U64" s="159"/>
      <c r="V64" s="207"/>
      <c r="W64" s="207"/>
      <c r="X64" s="207"/>
      <c r="Y64" s="159"/>
      <c r="Z64" s="110"/>
      <c r="AA64" s="132"/>
      <c r="AB64" s="136"/>
      <c r="AC64" s="95"/>
      <c r="AD64" s="111"/>
      <c r="AE64" s="111"/>
      <c r="AF64" s="111"/>
      <c r="AG64" s="111"/>
      <c r="AH64" s="111"/>
      <c r="AI64" s="95"/>
      <c r="AJ64" s="111"/>
      <c r="AK64" s="111"/>
      <c r="AL64" s="111"/>
      <c r="AM64" s="111"/>
      <c r="AN64" s="111"/>
      <c r="AO64" s="111"/>
      <c r="AP64" s="111"/>
      <c r="AQ64" s="111"/>
      <c r="AR64" s="111"/>
      <c r="AS64" s="111"/>
      <c r="AT64" s="160"/>
    </row>
    <row r="65" spans="1:47" x14ac:dyDescent="0.2">
      <c r="A65" s="313"/>
      <c r="B65" s="110"/>
      <c r="C65" s="110"/>
      <c r="D65" s="110"/>
      <c r="E65" s="313"/>
      <c r="F65" s="159"/>
      <c r="G65" s="159"/>
      <c r="H65" s="159"/>
      <c r="I65" s="159"/>
      <c r="J65" s="159"/>
      <c r="K65" s="159"/>
      <c r="L65" s="159"/>
      <c r="M65" s="159"/>
      <c r="N65" s="159"/>
      <c r="O65" s="159"/>
      <c r="P65" s="159"/>
      <c r="Q65" s="159"/>
      <c r="R65" s="159"/>
      <c r="S65" s="159"/>
      <c r="T65" s="159"/>
      <c r="U65" s="159"/>
      <c r="V65" s="207"/>
      <c r="W65" s="207"/>
      <c r="X65" s="207"/>
      <c r="Y65" s="159"/>
      <c r="Z65" s="110"/>
      <c r="AA65" s="132"/>
      <c r="AB65" s="136"/>
      <c r="AC65" s="95"/>
      <c r="AD65" s="111"/>
      <c r="AE65" s="111"/>
      <c r="AF65" s="111"/>
      <c r="AG65" s="111"/>
      <c r="AH65" s="111"/>
      <c r="AI65" s="95"/>
      <c r="AJ65" s="111"/>
      <c r="AK65" s="111"/>
      <c r="AL65" s="111"/>
      <c r="AM65" s="111"/>
      <c r="AN65" s="111"/>
      <c r="AO65" s="111"/>
      <c r="AP65" s="111"/>
      <c r="AQ65" s="111"/>
      <c r="AR65" s="111"/>
      <c r="AS65" s="111"/>
      <c r="AT65" s="160"/>
    </row>
    <row r="66" spans="1:47" x14ac:dyDescent="0.2">
      <c r="A66" s="313"/>
      <c r="B66" s="110"/>
      <c r="C66" s="110"/>
      <c r="D66" s="110"/>
      <c r="E66" s="313"/>
      <c r="F66" s="159"/>
      <c r="G66" s="159"/>
      <c r="H66" s="159"/>
      <c r="I66" s="159"/>
      <c r="J66" s="159"/>
      <c r="K66" s="159"/>
      <c r="L66" s="159"/>
      <c r="M66" s="159"/>
      <c r="N66" s="159"/>
      <c r="O66" s="159"/>
      <c r="P66" s="159"/>
      <c r="Q66" s="159"/>
      <c r="R66" s="159"/>
      <c r="S66" s="159"/>
      <c r="T66" s="159"/>
      <c r="U66" s="159"/>
      <c r="V66" s="207"/>
      <c r="W66" s="207"/>
      <c r="X66" s="207"/>
      <c r="Y66" s="159"/>
      <c r="Z66" s="110"/>
      <c r="AA66" s="132"/>
      <c r="AB66" s="136"/>
      <c r="AC66" s="95"/>
      <c r="AD66" s="111"/>
      <c r="AE66" s="111"/>
      <c r="AF66" s="111"/>
      <c r="AG66" s="111"/>
      <c r="AH66" s="111"/>
      <c r="AI66" s="95"/>
      <c r="AJ66" s="111"/>
      <c r="AK66" s="111"/>
      <c r="AL66" s="111"/>
      <c r="AM66" s="111"/>
      <c r="AN66" s="111"/>
      <c r="AO66" s="111"/>
      <c r="AP66" s="111"/>
      <c r="AQ66" s="111"/>
      <c r="AR66" s="111"/>
      <c r="AS66" s="111"/>
      <c r="AT66" s="160"/>
    </row>
    <row r="67" spans="1:47" x14ac:dyDescent="0.2">
      <c r="A67" s="313"/>
      <c r="B67" s="110"/>
      <c r="C67" s="110"/>
      <c r="D67" s="110"/>
      <c r="E67" s="313"/>
      <c r="F67" s="159"/>
      <c r="G67" s="159"/>
      <c r="H67" s="159"/>
      <c r="I67" s="159"/>
      <c r="J67" s="159"/>
      <c r="K67" s="159"/>
      <c r="L67" s="159"/>
      <c r="M67" s="159"/>
      <c r="N67" s="159"/>
      <c r="O67" s="159"/>
      <c r="P67" s="159"/>
      <c r="Q67" s="159"/>
      <c r="R67" s="159"/>
      <c r="S67" s="159"/>
      <c r="T67" s="159"/>
      <c r="U67" s="159"/>
      <c r="V67" s="207"/>
      <c r="W67" s="207"/>
      <c r="X67" s="207"/>
      <c r="Y67" s="159"/>
      <c r="Z67" s="110"/>
      <c r="AA67" s="132"/>
      <c r="AB67" s="136"/>
      <c r="AC67" s="95"/>
      <c r="AD67" s="111"/>
      <c r="AE67" s="111"/>
      <c r="AF67" s="111"/>
      <c r="AG67" s="111"/>
      <c r="AH67" s="111"/>
      <c r="AI67" s="95"/>
      <c r="AJ67" s="111"/>
      <c r="AK67" s="111"/>
      <c r="AL67" s="111"/>
      <c r="AM67" s="111"/>
      <c r="AN67" s="111"/>
      <c r="AO67" s="111"/>
      <c r="AP67" s="111"/>
      <c r="AQ67" s="111"/>
      <c r="AR67" s="111"/>
      <c r="AS67" s="111"/>
      <c r="AT67" s="160"/>
    </row>
    <row r="68" spans="1:47" x14ac:dyDescent="0.2">
      <c r="A68" s="313"/>
      <c r="B68" s="110"/>
      <c r="C68" s="110"/>
      <c r="D68" s="110"/>
      <c r="E68" s="313"/>
      <c r="F68" s="159"/>
      <c r="G68" s="159"/>
      <c r="H68" s="159"/>
      <c r="I68" s="159"/>
      <c r="J68" s="159"/>
      <c r="K68" s="159"/>
      <c r="L68" s="159"/>
      <c r="M68" s="159">
        <v>10</v>
      </c>
      <c r="N68" s="159">
        <f>IF(M68&gt;10,1,0)</f>
        <v>0</v>
      </c>
      <c r="O68" s="159"/>
      <c r="P68" s="159"/>
      <c r="Q68" s="159"/>
      <c r="R68" s="159"/>
      <c r="S68" s="159"/>
      <c r="T68" s="159"/>
      <c r="U68" s="159"/>
      <c r="V68" s="207"/>
      <c r="W68" s="207"/>
      <c r="X68" s="207"/>
      <c r="Y68" s="159"/>
      <c r="Z68" s="110"/>
      <c r="AA68" s="132"/>
      <c r="AB68" s="136"/>
      <c r="AC68" s="95"/>
      <c r="AD68" s="111"/>
      <c r="AE68" s="111"/>
      <c r="AF68" s="111"/>
      <c r="AG68" s="111"/>
      <c r="AH68" s="111"/>
      <c r="AI68" s="95"/>
      <c r="AJ68" s="111"/>
      <c r="AK68" s="111"/>
      <c r="AL68" s="111"/>
      <c r="AM68" s="111"/>
      <c r="AN68" s="111"/>
      <c r="AO68" s="111"/>
      <c r="AP68" s="111"/>
      <c r="AQ68" s="111"/>
      <c r="AR68" s="111"/>
      <c r="AS68" s="111"/>
      <c r="AT68" s="160"/>
    </row>
    <row r="69" spans="1:47" x14ac:dyDescent="0.2">
      <c r="A69" s="313"/>
      <c r="B69" s="110"/>
      <c r="C69" s="110"/>
      <c r="D69" s="110"/>
      <c r="E69" s="313"/>
      <c r="F69" s="159"/>
      <c r="G69" s="159"/>
      <c r="H69" s="159"/>
      <c r="I69" s="159"/>
      <c r="J69" s="159"/>
      <c r="K69" s="159"/>
      <c r="L69" s="159"/>
      <c r="M69" s="159"/>
      <c r="N69" s="159"/>
      <c r="O69" s="159"/>
      <c r="P69" s="159"/>
      <c r="Q69" s="159"/>
      <c r="R69" s="159"/>
      <c r="S69" s="159"/>
      <c r="T69" s="159"/>
      <c r="U69" s="159"/>
      <c r="V69" s="207"/>
      <c r="W69" s="207"/>
      <c r="X69" s="207"/>
      <c r="Y69" s="159"/>
      <c r="Z69" s="110"/>
      <c r="AA69" s="132"/>
      <c r="AB69" s="136"/>
      <c r="AC69" s="95"/>
      <c r="AD69" s="111"/>
      <c r="AE69" s="111"/>
      <c r="AF69" s="111"/>
      <c r="AG69" s="111"/>
      <c r="AH69" s="111"/>
      <c r="AI69" s="95"/>
      <c r="AJ69" s="111"/>
      <c r="AK69" s="111"/>
      <c r="AL69" s="111"/>
      <c r="AM69" s="111"/>
      <c r="AN69" s="111"/>
      <c r="AO69" s="111"/>
      <c r="AP69" s="111"/>
      <c r="AQ69" s="111"/>
      <c r="AR69" s="111"/>
      <c r="AS69" s="111"/>
      <c r="AT69" s="160"/>
    </row>
    <row r="70" spans="1:47" x14ac:dyDescent="0.2">
      <c r="A70" s="313"/>
      <c r="B70" s="110"/>
      <c r="C70" s="110"/>
      <c r="D70" s="110"/>
      <c r="E70" s="313"/>
      <c r="F70" s="159"/>
      <c r="G70" s="159"/>
      <c r="H70" s="159"/>
      <c r="I70" s="159"/>
      <c r="J70" s="159"/>
      <c r="K70" s="159"/>
      <c r="L70" s="159"/>
      <c r="M70" s="159"/>
      <c r="N70" s="159"/>
      <c r="O70" s="159"/>
      <c r="P70" s="159"/>
      <c r="Q70" s="159"/>
      <c r="R70" s="159"/>
      <c r="S70" s="159"/>
      <c r="T70" s="159"/>
      <c r="U70" s="159"/>
      <c r="V70" s="207"/>
      <c r="W70" s="207"/>
      <c r="X70" s="207"/>
      <c r="Y70" s="159"/>
      <c r="Z70" s="110"/>
      <c r="AA70" s="132"/>
      <c r="AB70" s="136"/>
      <c r="AC70" s="95"/>
      <c r="AD70" s="111"/>
      <c r="AE70" s="111"/>
      <c r="AF70" s="111"/>
      <c r="AG70" s="111"/>
      <c r="AH70" s="111"/>
      <c r="AI70" s="95"/>
      <c r="AJ70" s="111"/>
      <c r="AK70" s="111"/>
      <c r="AL70" s="111"/>
      <c r="AM70" s="111"/>
      <c r="AN70" s="111"/>
      <c r="AO70" s="111"/>
      <c r="AP70" s="111"/>
      <c r="AQ70" s="111"/>
      <c r="AR70" s="111"/>
      <c r="AS70" s="111"/>
      <c r="AT70" s="160"/>
    </row>
    <row r="71" spans="1:47" x14ac:dyDescent="0.2">
      <c r="A71" s="313"/>
      <c r="B71" s="111"/>
      <c r="C71" s="111"/>
      <c r="D71" s="111"/>
      <c r="E71" s="313"/>
      <c r="F71" s="111"/>
      <c r="G71" s="111"/>
      <c r="H71" s="111"/>
      <c r="I71" s="111"/>
      <c r="J71" s="111"/>
      <c r="K71" s="111"/>
      <c r="L71" s="111"/>
      <c r="M71" s="111"/>
      <c r="N71" s="111"/>
      <c r="O71" s="111"/>
      <c r="P71" s="111"/>
      <c r="Q71" s="111"/>
      <c r="R71" s="111"/>
      <c r="S71" s="111"/>
      <c r="T71" s="111"/>
      <c r="U71" s="111"/>
      <c r="V71" s="208"/>
      <c r="W71" s="208"/>
      <c r="X71" s="208"/>
      <c r="Y71" s="111"/>
      <c r="Z71" s="110"/>
      <c r="AA71" s="132"/>
      <c r="AB71" s="136"/>
      <c r="AC71" s="95"/>
      <c r="AD71" s="111"/>
      <c r="AE71" s="111"/>
      <c r="AF71" s="111"/>
      <c r="AG71" s="111"/>
      <c r="AH71" s="111"/>
      <c r="AI71" s="95"/>
      <c r="AJ71" s="111"/>
      <c r="AK71" s="111"/>
      <c r="AL71" s="111"/>
      <c r="AM71" s="111"/>
      <c r="AN71" s="111"/>
      <c r="AO71" s="111"/>
      <c r="AP71" s="111"/>
      <c r="AQ71" s="111"/>
      <c r="AR71" s="111"/>
      <c r="AS71" s="111"/>
      <c r="AT71" s="160"/>
    </row>
    <row r="72" spans="1:47" x14ac:dyDescent="0.2">
      <c r="A72" s="313"/>
      <c r="B72" s="111"/>
      <c r="C72" s="111"/>
      <c r="D72" s="111"/>
      <c r="E72" s="313"/>
      <c r="F72" s="111"/>
      <c r="G72" s="111"/>
      <c r="H72" s="111"/>
      <c r="I72" s="111"/>
      <c r="J72" s="111"/>
      <c r="K72" s="111"/>
      <c r="L72" s="111"/>
      <c r="M72" s="111"/>
      <c r="N72" s="111"/>
      <c r="O72" s="111"/>
      <c r="P72" s="111"/>
      <c r="Q72" s="111"/>
      <c r="R72" s="111"/>
      <c r="S72" s="111"/>
      <c r="T72" s="111"/>
      <c r="U72" s="111"/>
      <c r="V72" s="208"/>
      <c r="W72" s="208"/>
      <c r="X72" s="208"/>
      <c r="Y72" s="111"/>
      <c r="Z72" s="110"/>
      <c r="AA72" s="132"/>
      <c r="AB72" s="136"/>
      <c r="AC72" s="95"/>
      <c r="AD72" s="111"/>
      <c r="AE72" s="111"/>
      <c r="AF72" s="111"/>
      <c r="AG72" s="111"/>
      <c r="AH72" s="111"/>
      <c r="AI72" s="95"/>
      <c r="AJ72" s="111"/>
      <c r="AK72" s="111"/>
      <c r="AL72" s="111"/>
      <c r="AM72" s="111"/>
      <c r="AN72" s="111"/>
      <c r="AO72" s="111"/>
      <c r="AP72" s="111"/>
      <c r="AQ72" s="111"/>
      <c r="AR72" s="111"/>
      <c r="AS72" s="111"/>
      <c r="AT72" s="160"/>
      <c r="AU72" s="112"/>
    </row>
    <row r="73" spans="1:47" x14ac:dyDescent="0.2">
      <c r="A73" s="313"/>
      <c r="B73" s="111"/>
      <c r="C73" s="111"/>
      <c r="D73" s="111"/>
      <c r="E73" s="313"/>
      <c r="F73" s="111"/>
      <c r="G73" s="111"/>
      <c r="H73" s="111"/>
      <c r="I73" s="111"/>
      <c r="J73" s="111"/>
      <c r="K73" s="111"/>
      <c r="L73" s="111"/>
      <c r="M73" s="111"/>
      <c r="N73" s="111"/>
      <c r="O73" s="111"/>
      <c r="P73" s="111"/>
      <c r="Q73" s="111"/>
      <c r="R73" s="111"/>
      <c r="S73" s="111"/>
      <c r="T73" s="111"/>
      <c r="U73" s="111"/>
      <c r="V73" s="208"/>
      <c r="W73" s="208"/>
      <c r="X73" s="208"/>
      <c r="Y73" s="111"/>
      <c r="Z73" s="110"/>
      <c r="AA73" s="111"/>
      <c r="AB73" s="111"/>
      <c r="AC73" s="95"/>
      <c r="AD73" s="111"/>
      <c r="AE73" s="111"/>
      <c r="AF73" s="111"/>
      <c r="AG73" s="111"/>
      <c r="AH73" s="111"/>
      <c r="AI73" s="95"/>
      <c r="AJ73" s="111"/>
      <c r="AK73" s="111"/>
      <c r="AL73" s="111"/>
      <c r="AM73" s="111"/>
      <c r="AN73" s="111"/>
      <c r="AO73" s="111"/>
      <c r="AP73" s="111"/>
      <c r="AQ73" s="111"/>
      <c r="AR73" s="111"/>
      <c r="AS73" s="111"/>
      <c r="AT73" s="160"/>
      <c r="AU73" s="112"/>
    </row>
    <row r="74" spans="1:47" x14ac:dyDescent="0.2">
      <c r="A74" s="313"/>
      <c r="B74" s="111"/>
      <c r="C74" s="111"/>
      <c r="D74" s="111"/>
      <c r="E74" s="313"/>
      <c r="F74" s="111"/>
      <c r="G74" s="111"/>
      <c r="H74" s="111"/>
      <c r="I74" s="111"/>
      <c r="J74" s="111"/>
      <c r="K74" s="111"/>
      <c r="L74" s="111"/>
      <c r="M74" s="111"/>
      <c r="N74" s="111"/>
      <c r="O74" s="111"/>
      <c r="P74" s="111"/>
      <c r="Q74" s="111"/>
      <c r="R74" s="111"/>
      <c r="S74" s="111"/>
      <c r="T74" s="111"/>
      <c r="U74" s="111"/>
      <c r="V74" s="208"/>
      <c r="W74" s="208"/>
      <c r="X74" s="208"/>
      <c r="Y74" s="111"/>
      <c r="Z74" s="110"/>
      <c r="AA74" s="111"/>
      <c r="AB74" s="111"/>
      <c r="AC74" s="95"/>
      <c r="AD74" s="111"/>
      <c r="AE74" s="111"/>
      <c r="AF74" s="111"/>
      <c r="AG74" s="111"/>
      <c r="AH74" s="111"/>
      <c r="AI74" s="95"/>
      <c r="AJ74" s="111"/>
      <c r="AK74" s="111"/>
      <c r="AL74" s="111"/>
      <c r="AM74" s="111"/>
      <c r="AN74" s="111"/>
      <c r="AO74" s="111"/>
      <c r="AP74" s="111"/>
      <c r="AQ74" s="111"/>
      <c r="AR74" s="111"/>
      <c r="AS74" s="111"/>
      <c r="AT74" s="160"/>
      <c r="AU74" s="112"/>
    </row>
    <row r="75" spans="1:47" x14ac:dyDescent="0.2">
      <c r="A75" s="313"/>
      <c r="B75" s="111"/>
      <c r="C75" s="111"/>
      <c r="D75" s="111"/>
      <c r="E75" s="313"/>
      <c r="F75" s="111"/>
      <c r="G75" s="111"/>
      <c r="H75" s="111"/>
      <c r="I75" s="111"/>
      <c r="J75" s="111"/>
      <c r="K75" s="111"/>
      <c r="L75" s="111"/>
      <c r="M75" s="111"/>
      <c r="N75" s="111"/>
      <c r="O75" s="111"/>
      <c r="P75" s="111"/>
      <c r="Q75" s="111"/>
      <c r="R75" s="111"/>
      <c r="S75" s="111"/>
      <c r="T75" s="111"/>
      <c r="U75" s="111"/>
      <c r="V75" s="208"/>
      <c r="W75" s="208"/>
      <c r="X75" s="208"/>
      <c r="Y75" s="111"/>
      <c r="Z75" s="110"/>
      <c r="AA75" s="111"/>
      <c r="AB75" s="111"/>
      <c r="AC75" s="95"/>
      <c r="AD75" s="111"/>
      <c r="AE75" s="111"/>
      <c r="AF75" s="111"/>
      <c r="AG75" s="111"/>
      <c r="AH75" s="111"/>
      <c r="AI75" s="95"/>
      <c r="AJ75" s="111"/>
      <c r="AK75" s="111"/>
      <c r="AL75" s="111"/>
      <c r="AM75" s="111"/>
      <c r="AN75" s="111"/>
      <c r="AO75" s="111"/>
      <c r="AP75" s="111"/>
      <c r="AQ75" s="111"/>
      <c r="AR75" s="111"/>
      <c r="AS75" s="111"/>
      <c r="AT75" s="160"/>
      <c r="AU75" s="112"/>
    </row>
    <row r="76" spans="1:47" x14ac:dyDescent="0.2">
      <c r="A76" s="313"/>
      <c r="B76" s="111"/>
      <c r="C76" s="111"/>
      <c r="D76" s="111"/>
      <c r="E76" s="313"/>
      <c r="F76" s="111"/>
      <c r="G76" s="111"/>
      <c r="H76" s="111"/>
      <c r="I76" s="111"/>
      <c r="J76" s="111"/>
      <c r="K76" s="111"/>
      <c r="L76" s="111"/>
      <c r="M76" s="111"/>
      <c r="N76" s="111"/>
      <c r="O76" s="111"/>
      <c r="P76" s="111"/>
      <c r="Q76" s="111"/>
      <c r="R76" s="111"/>
      <c r="S76" s="111"/>
      <c r="T76" s="111"/>
      <c r="U76" s="111"/>
      <c r="V76" s="208"/>
      <c r="W76" s="208"/>
      <c r="X76" s="208"/>
      <c r="Y76" s="111"/>
      <c r="Z76" s="110"/>
      <c r="AA76" s="111"/>
      <c r="AB76" s="111"/>
      <c r="AC76" s="95"/>
      <c r="AD76" s="111"/>
      <c r="AE76" s="111"/>
      <c r="AF76" s="111"/>
      <c r="AG76" s="111"/>
      <c r="AH76" s="111"/>
      <c r="AI76" s="95"/>
      <c r="AJ76" s="111"/>
      <c r="AK76" s="111"/>
      <c r="AL76" s="111"/>
      <c r="AM76" s="111"/>
      <c r="AN76" s="111"/>
      <c r="AO76" s="111"/>
      <c r="AP76" s="111"/>
      <c r="AQ76" s="111"/>
      <c r="AR76" s="111"/>
      <c r="AS76" s="111"/>
      <c r="AT76" s="160"/>
      <c r="AU76" s="112"/>
    </row>
    <row r="77" spans="1:47" ht="13" customHeight="1" x14ac:dyDescent="0.2">
      <c r="A77" s="313"/>
      <c r="B77" s="111"/>
      <c r="C77" s="111"/>
      <c r="D77" s="111"/>
      <c r="E77" s="313"/>
      <c r="F77" s="111"/>
      <c r="G77" s="111"/>
      <c r="H77" s="111"/>
      <c r="I77" s="111"/>
      <c r="J77" s="111"/>
      <c r="K77" s="111"/>
      <c r="L77" s="111"/>
      <c r="M77" s="111"/>
      <c r="N77" s="111"/>
      <c r="O77" s="111"/>
      <c r="P77" s="111"/>
      <c r="Q77" s="111"/>
      <c r="R77" s="111"/>
      <c r="S77" s="111"/>
      <c r="T77" s="111"/>
      <c r="U77" s="111"/>
      <c r="V77" s="208"/>
      <c r="W77" s="208"/>
      <c r="X77" s="208"/>
      <c r="Y77" s="111"/>
      <c r="Z77" s="110"/>
      <c r="AA77" s="111"/>
      <c r="AB77" s="111"/>
      <c r="AC77" s="95"/>
      <c r="AD77" s="111"/>
      <c r="AE77" s="111"/>
      <c r="AF77" s="111"/>
      <c r="AG77" s="111"/>
      <c r="AH77" s="111"/>
      <c r="AI77" s="95"/>
      <c r="AJ77" s="111"/>
      <c r="AK77" s="111"/>
      <c r="AL77" s="111"/>
      <c r="AM77" s="111"/>
      <c r="AN77" s="111"/>
      <c r="AO77" s="111"/>
      <c r="AP77" s="111"/>
      <c r="AQ77" s="111"/>
      <c r="AR77" s="111"/>
      <c r="AS77" s="111"/>
      <c r="AT77" s="160"/>
      <c r="AU77" s="112"/>
    </row>
    <row r="78" spans="1:47" x14ac:dyDescent="0.2">
      <c r="A78" s="313"/>
      <c r="B78" s="111"/>
      <c r="C78" s="111"/>
      <c r="D78" s="111"/>
      <c r="E78" s="313"/>
      <c r="F78" s="111"/>
      <c r="G78" s="111"/>
      <c r="H78" s="111"/>
      <c r="I78" s="111"/>
      <c r="J78" s="111"/>
      <c r="K78" s="111"/>
      <c r="L78" s="111"/>
      <c r="M78" s="111"/>
      <c r="N78" s="111"/>
      <c r="O78" s="111"/>
      <c r="P78" s="111"/>
      <c r="Q78" s="111"/>
      <c r="R78" s="111"/>
      <c r="S78" s="111"/>
      <c r="T78" s="111"/>
      <c r="U78" s="111"/>
      <c r="V78" s="208"/>
      <c r="W78" s="208"/>
      <c r="X78" s="208"/>
      <c r="Y78" s="111"/>
      <c r="Z78" s="110"/>
      <c r="AA78" s="111"/>
      <c r="AB78" s="111"/>
      <c r="AC78" s="95"/>
      <c r="AD78" s="111"/>
      <c r="AE78" s="111"/>
      <c r="AF78" s="111"/>
      <c r="AG78" s="111"/>
      <c r="AH78" s="111"/>
      <c r="AI78" s="95"/>
      <c r="AJ78" s="111"/>
      <c r="AK78" s="111"/>
      <c r="AL78" s="111"/>
      <c r="AM78" s="111"/>
      <c r="AN78" s="111"/>
      <c r="AO78" s="111"/>
      <c r="AP78" s="111"/>
      <c r="AQ78" s="111"/>
      <c r="AR78" s="111"/>
      <c r="AS78" s="111"/>
      <c r="AT78" s="160"/>
      <c r="AU78" s="112"/>
    </row>
    <row r="79" spans="1:47" x14ac:dyDescent="0.2">
      <c r="A79" s="313"/>
      <c r="B79" s="111"/>
      <c r="C79" s="111"/>
      <c r="D79" s="111"/>
      <c r="E79" s="313"/>
      <c r="F79" s="111"/>
      <c r="G79" s="111"/>
      <c r="H79" s="111"/>
      <c r="I79" s="111"/>
      <c r="J79" s="111"/>
      <c r="K79" s="111"/>
      <c r="L79" s="111"/>
      <c r="M79" s="111"/>
      <c r="N79" s="111"/>
      <c r="O79" s="111"/>
      <c r="P79" s="111"/>
      <c r="Q79" s="111"/>
      <c r="R79" s="111"/>
      <c r="S79" s="111"/>
      <c r="T79" s="111"/>
      <c r="U79" s="111"/>
      <c r="V79" s="208"/>
      <c r="W79" s="208"/>
      <c r="X79" s="208"/>
      <c r="Y79" s="111"/>
      <c r="Z79" s="110"/>
      <c r="AA79" s="111"/>
      <c r="AB79" s="111"/>
      <c r="AC79" s="95"/>
      <c r="AD79" s="111"/>
      <c r="AE79" s="111"/>
      <c r="AF79" s="111"/>
      <c r="AG79" s="111"/>
      <c r="AH79" s="111"/>
      <c r="AI79" s="95"/>
      <c r="AJ79" s="111"/>
      <c r="AK79" s="111"/>
      <c r="AL79" s="111"/>
      <c r="AM79" s="111"/>
      <c r="AN79" s="111"/>
      <c r="AO79" s="111"/>
      <c r="AP79" s="111"/>
      <c r="AQ79" s="111"/>
      <c r="AR79" s="111"/>
      <c r="AS79" s="111"/>
      <c r="AT79" s="160"/>
      <c r="AU79" s="112"/>
    </row>
    <row r="80" spans="1:47" hidden="1" x14ac:dyDescent="0.2">
      <c r="A80" s="313"/>
      <c r="B80" s="111"/>
      <c r="C80" s="111"/>
      <c r="D80" s="111"/>
      <c r="E80" s="313"/>
      <c r="F80" s="111"/>
      <c r="G80" s="111"/>
      <c r="H80" s="111"/>
      <c r="I80" s="111"/>
      <c r="J80" s="111"/>
      <c r="K80" s="111"/>
      <c r="L80" s="111"/>
      <c r="M80" s="111"/>
      <c r="N80" s="111"/>
      <c r="O80" s="111"/>
      <c r="P80" s="111"/>
      <c r="Q80" s="111"/>
      <c r="R80" s="111"/>
      <c r="S80" s="111"/>
      <c r="T80" s="111"/>
      <c r="U80" s="111"/>
      <c r="V80" s="208"/>
      <c r="W80" s="208"/>
      <c r="X80" s="208"/>
      <c r="Y80" s="111"/>
      <c r="Z80" s="110"/>
      <c r="AA80" s="111"/>
      <c r="AB80" s="111"/>
      <c r="AC80" s="95"/>
      <c r="AD80" s="111"/>
      <c r="AE80" s="111"/>
      <c r="AF80" s="111"/>
      <c r="AG80" s="111"/>
      <c r="AH80" s="111"/>
      <c r="AI80" s="95"/>
      <c r="AJ80" s="111"/>
      <c r="AK80" s="111"/>
      <c r="AL80" s="111"/>
      <c r="AM80" s="111"/>
      <c r="AN80" s="111"/>
      <c r="AO80" s="111"/>
      <c r="AP80" s="111"/>
      <c r="AQ80" s="111"/>
      <c r="AR80" s="111"/>
      <c r="AS80" s="111"/>
      <c r="AT80" s="160"/>
      <c r="AU80" s="112"/>
    </row>
    <row r="81" spans="1:47" hidden="1" x14ac:dyDescent="0.2">
      <c r="A81" s="313"/>
      <c r="B81" s="111"/>
      <c r="C81" s="111"/>
      <c r="D81" s="111"/>
      <c r="E81" s="313"/>
      <c r="F81" s="111"/>
      <c r="G81" s="111"/>
      <c r="H81" s="111"/>
      <c r="I81" s="111"/>
      <c r="J81" s="111"/>
      <c r="K81" s="111"/>
      <c r="L81" s="111"/>
      <c r="M81" s="111"/>
      <c r="N81" s="111"/>
      <c r="O81" s="111"/>
      <c r="P81" s="111"/>
      <c r="Q81" s="111"/>
      <c r="R81" s="111"/>
      <c r="S81" s="111"/>
      <c r="T81" s="111"/>
      <c r="U81" s="111"/>
      <c r="V81" s="208"/>
      <c r="W81" s="208"/>
      <c r="X81" s="208"/>
      <c r="Y81" s="111"/>
      <c r="Z81" s="110"/>
      <c r="AA81" s="111"/>
      <c r="AB81" s="111"/>
      <c r="AC81" s="95"/>
      <c r="AD81" s="111"/>
      <c r="AE81" s="111"/>
      <c r="AF81" s="111"/>
      <c r="AG81" s="111"/>
      <c r="AH81" s="111"/>
      <c r="AI81" s="95"/>
      <c r="AJ81" s="111"/>
      <c r="AK81" s="111"/>
      <c r="AL81" s="111"/>
      <c r="AM81" s="111"/>
      <c r="AN81" s="111"/>
      <c r="AO81" s="111"/>
      <c r="AP81" s="111"/>
      <c r="AQ81" s="111"/>
      <c r="AR81" s="111"/>
      <c r="AS81" s="111"/>
      <c r="AT81" s="160"/>
      <c r="AU81" s="112"/>
    </row>
    <row r="82" spans="1:47" hidden="1" x14ac:dyDescent="0.2">
      <c r="B82" s="112"/>
      <c r="C82" s="112"/>
      <c r="D82" s="112"/>
      <c r="F82" s="112"/>
      <c r="G82" s="112"/>
      <c r="H82" s="112"/>
      <c r="I82" s="112"/>
      <c r="J82" s="112"/>
      <c r="K82" s="112"/>
      <c r="L82" s="112"/>
      <c r="M82" s="112"/>
      <c r="N82" s="112"/>
      <c r="O82" s="112"/>
      <c r="P82" s="112"/>
      <c r="Q82" s="112"/>
      <c r="R82" s="112"/>
      <c r="S82" s="112"/>
      <c r="T82" s="112"/>
      <c r="U82" s="112"/>
      <c r="V82" s="209"/>
      <c r="W82" s="209"/>
      <c r="X82" s="209"/>
      <c r="Y82" s="112"/>
      <c r="AA82" s="112"/>
      <c r="AB82" s="112"/>
      <c r="AP82" s="112"/>
      <c r="AQ82" s="112"/>
      <c r="AR82" s="112"/>
      <c r="AS82" s="112"/>
      <c r="AT82" s="112"/>
      <c r="AU82" s="112"/>
    </row>
    <row r="83" spans="1:47" hidden="1" x14ac:dyDescent="0.2">
      <c r="B83" s="112"/>
      <c r="C83" s="112"/>
      <c r="D83" s="112"/>
      <c r="F83" s="112"/>
      <c r="G83" s="112"/>
      <c r="H83" s="112"/>
      <c r="I83" s="112"/>
      <c r="J83" s="112"/>
      <c r="K83" s="112"/>
      <c r="L83" s="112"/>
      <c r="M83" s="112"/>
      <c r="N83" s="112"/>
      <c r="O83" s="112"/>
      <c r="P83" s="112"/>
      <c r="Q83" s="112"/>
      <c r="R83" s="112"/>
      <c r="S83" s="112"/>
      <c r="T83" s="112"/>
      <c r="U83" s="112"/>
      <c r="V83" s="209"/>
      <c r="W83" s="209"/>
      <c r="X83" s="209"/>
      <c r="Y83" s="112"/>
      <c r="AA83" s="112"/>
      <c r="AB83" s="112"/>
      <c r="AP83" s="112"/>
      <c r="AQ83" s="112"/>
      <c r="AR83" s="112"/>
      <c r="AS83" s="112"/>
      <c r="AT83" s="112"/>
      <c r="AU83" s="112"/>
    </row>
    <row r="84" spans="1:47" hidden="1" x14ac:dyDescent="0.2">
      <c r="B84" s="112"/>
      <c r="C84" s="112"/>
      <c r="D84" s="112"/>
      <c r="F84" s="112"/>
      <c r="G84" s="112"/>
      <c r="H84" s="112"/>
      <c r="I84" s="112"/>
      <c r="J84" s="112"/>
      <c r="K84" s="112"/>
      <c r="L84" s="112"/>
      <c r="M84" s="112"/>
      <c r="N84" s="112"/>
      <c r="O84" s="112"/>
      <c r="P84" s="112"/>
      <c r="Q84" s="112"/>
      <c r="R84" s="112"/>
      <c r="S84" s="112"/>
      <c r="T84" s="112"/>
      <c r="U84" s="112"/>
      <c r="V84" s="209"/>
      <c r="W84" s="209"/>
      <c r="X84" s="209"/>
      <c r="Y84" s="112"/>
      <c r="AA84" s="112"/>
      <c r="AB84" s="112"/>
      <c r="AP84" s="112"/>
      <c r="AQ84" s="112"/>
      <c r="AR84" s="112"/>
      <c r="AS84" s="112"/>
      <c r="AT84" s="112"/>
      <c r="AU84" s="112"/>
    </row>
    <row r="85" spans="1:47" hidden="1" x14ac:dyDescent="0.2">
      <c r="B85" s="112"/>
      <c r="C85" s="112"/>
      <c r="D85" s="112"/>
      <c r="F85" s="112"/>
      <c r="G85" s="112"/>
      <c r="H85" s="112"/>
      <c r="I85" s="112"/>
      <c r="J85" s="112"/>
      <c r="K85" s="112"/>
      <c r="L85" s="112"/>
      <c r="M85" s="112"/>
      <c r="N85" s="112"/>
      <c r="O85" s="112"/>
      <c r="P85" s="112"/>
      <c r="Q85" s="112"/>
      <c r="R85" s="112"/>
      <c r="S85" s="112"/>
      <c r="T85" s="112"/>
      <c r="U85" s="112"/>
      <c r="V85" s="209"/>
      <c r="W85" s="209"/>
      <c r="X85" s="209"/>
      <c r="Y85" s="112"/>
      <c r="AA85" s="112"/>
      <c r="AB85" s="112"/>
      <c r="AP85" s="112"/>
      <c r="AQ85" s="112"/>
      <c r="AR85" s="112"/>
      <c r="AS85" s="112"/>
      <c r="AT85" s="112"/>
      <c r="AU85" s="112"/>
    </row>
    <row r="86" spans="1:47" hidden="1" x14ac:dyDescent="0.2">
      <c r="B86" s="112"/>
      <c r="C86" s="112"/>
      <c r="D86" s="112"/>
      <c r="F86" s="112"/>
      <c r="G86" s="112"/>
      <c r="H86" s="112"/>
      <c r="I86" s="112"/>
      <c r="J86" s="112"/>
      <c r="K86" s="112"/>
      <c r="L86" s="112"/>
      <c r="M86" s="112"/>
      <c r="N86" s="112"/>
      <c r="O86" s="112"/>
      <c r="P86" s="112"/>
      <c r="Q86" s="112"/>
      <c r="R86" s="112"/>
      <c r="S86" s="112"/>
      <c r="T86" s="112"/>
      <c r="U86" s="112"/>
      <c r="V86" s="209"/>
      <c r="W86" s="209"/>
      <c r="X86" s="209"/>
      <c r="Y86" s="112"/>
      <c r="AA86" s="112"/>
      <c r="AB86" s="112"/>
      <c r="AP86" s="112"/>
      <c r="AQ86" s="112"/>
      <c r="AR86" s="112"/>
      <c r="AS86" s="112"/>
      <c r="AT86" s="112"/>
      <c r="AU86" s="112"/>
    </row>
    <row r="87" spans="1:47" hidden="1" x14ac:dyDescent="0.2">
      <c r="B87" s="112"/>
      <c r="C87" s="112"/>
      <c r="D87" s="112"/>
      <c r="F87" s="112"/>
      <c r="G87" s="112"/>
      <c r="H87" s="112"/>
      <c r="I87" s="112"/>
      <c r="J87" s="112"/>
      <c r="K87" s="112"/>
      <c r="L87" s="112"/>
      <c r="M87" s="112"/>
      <c r="N87" s="112"/>
      <c r="O87" s="112"/>
      <c r="P87" s="112"/>
      <c r="Q87" s="112"/>
      <c r="R87" s="112"/>
      <c r="S87" s="112"/>
      <c r="T87" s="112"/>
      <c r="U87" s="112"/>
      <c r="V87" s="209"/>
      <c r="W87" s="209"/>
      <c r="X87" s="209"/>
      <c r="Y87" s="112"/>
      <c r="AA87" s="112"/>
      <c r="AB87" s="112"/>
      <c r="AP87" s="112"/>
      <c r="AQ87" s="112"/>
      <c r="AR87" s="112"/>
      <c r="AS87" s="112"/>
      <c r="AT87" s="112"/>
      <c r="AU87" s="112"/>
    </row>
    <row r="88" spans="1:47" hidden="1" x14ac:dyDescent="0.2">
      <c r="B88" s="112"/>
      <c r="C88" s="112"/>
      <c r="D88" s="112"/>
      <c r="F88" s="112"/>
      <c r="G88" s="112"/>
      <c r="H88" s="112"/>
      <c r="I88" s="112"/>
      <c r="J88" s="112"/>
      <c r="K88" s="112"/>
      <c r="L88" s="112"/>
      <c r="M88" s="112"/>
      <c r="N88" s="112"/>
      <c r="O88" s="112"/>
      <c r="P88" s="112"/>
      <c r="Q88" s="112"/>
      <c r="R88" s="112"/>
      <c r="S88" s="112"/>
      <c r="T88" s="112"/>
      <c r="U88" s="112"/>
      <c r="V88" s="209"/>
      <c r="W88" s="209"/>
      <c r="X88" s="209"/>
      <c r="Y88" s="112"/>
      <c r="AA88" s="112"/>
      <c r="AB88" s="112"/>
      <c r="AP88" s="112"/>
      <c r="AQ88" s="112"/>
      <c r="AR88" s="112"/>
      <c r="AS88" s="112"/>
      <c r="AT88" s="112"/>
      <c r="AU88" s="112"/>
    </row>
    <row r="89" spans="1:47" hidden="1" x14ac:dyDescent="0.2">
      <c r="B89" s="112"/>
      <c r="C89" s="112"/>
      <c r="D89" s="112"/>
      <c r="F89" s="112"/>
      <c r="G89" s="112"/>
      <c r="H89" s="112"/>
      <c r="I89" s="112"/>
      <c r="J89" s="112"/>
      <c r="K89" s="112"/>
      <c r="L89" s="112"/>
      <c r="M89" s="112"/>
      <c r="N89" s="112"/>
      <c r="O89" s="112"/>
      <c r="P89" s="112"/>
      <c r="Q89" s="112"/>
      <c r="R89" s="112"/>
      <c r="S89" s="112"/>
      <c r="T89" s="112"/>
      <c r="U89" s="112"/>
      <c r="V89" s="209"/>
      <c r="W89" s="209"/>
      <c r="X89" s="209"/>
      <c r="Y89" s="112"/>
      <c r="AA89" s="112"/>
      <c r="AB89" s="112"/>
      <c r="AP89" s="112"/>
      <c r="AQ89" s="112"/>
      <c r="AR89" s="112"/>
      <c r="AS89" s="112"/>
      <c r="AT89" s="112"/>
      <c r="AU89" s="112"/>
    </row>
    <row r="90" spans="1:47" hidden="1" x14ac:dyDescent="0.2">
      <c r="B90" s="112"/>
      <c r="C90" s="112"/>
      <c r="D90" s="112"/>
      <c r="F90" s="112"/>
      <c r="G90" s="112"/>
      <c r="H90" s="112"/>
      <c r="I90" s="112"/>
      <c r="J90" s="112"/>
      <c r="K90" s="112"/>
      <c r="L90" s="112"/>
      <c r="M90" s="112"/>
      <c r="N90" s="112"/>
      <c r="O90" s="112"/>
      <c r="P90" s="112"/>
      <c r="Q90" s="112"/>
      <c r="R90" s="112"/>
      <c r="S90" s="112"/>
      <c r="T90" s="112"/>
      <c r="U90" s="112"/>
      <c r="V90" s="209"/>
      <c r="W90" s="209"/>
      <c r="X90" s="209"/>
      <c r="Y90" s="112"/>
      <c r="AA90" s="112"/>
      <c r="AB90" s="112"/>
      <c r="AP90" s="112"/>
      <c r="AQ90" s="112"/>
      <c r="AR90" s="112"/>
      <c r="AS90" s="112"/>
      <c r="AT90" s="112"/>
      <c r="AU90" s="112"/>
    </row>
    <row r="91" spans="1:47" hidden="1" x14ac:dyDescent="0.2">
      <c r="B91" s="112"/>
      <c r="C91" s="112"/>
      <c r="D91" s="112"/>
      <c r="F91" s="112"/>
      <c r="G91" s="112"/>
      <c r="H91" s="112"/>
      <c r="I91" s="112"/>
      <c r="J91" s="112"/>
      <c r="K91" s="112"/>
      <c r="L91" s="112"/>
      <c r="M91" s="112"/>
      <c r="N91" s="112"/>
      <c r="O91" s="112"/>
      <c r="P91" s="112"/>
      <c r="Q91" s="112"/>
      <c r="R91" s="112"/>
      <c r="S91" s="112"/>
      <c r="T91" s="112"/>
      <c r="U91" s="112"/>
      <c r="V91" s="209"/>
      <c r="W91" s="209"/>
      <c r="X91" s="209"/>
      <c r="Y91" s="112"/>
      <c r="AA91" s="112"/>
      <c r="AB91" s="112"/>
      <c r="AP91" s="112"/>
      <c r="AQ91" s="112"/>
      <c r="AR91" s="112"/>
      <c r="AS91" s="112"/>
      <c r="AT91" s="112"/>
      <c r="AU91" s="112"/>
    </row>
    <row r="92" spans="1:47" hidden="1" x14ac:dyDescent="0.2">
      <c r="B92" s="112"/>
      <c r="C92" s="112"/>
      <c r="D92" s="112"/>
      <c r="F92" s="112"/>
      <c r="G92" s="112"/>
      <c r="H92" s="112"/>
      <c r="I92" s="112"/>
      <c r="J92" s="112"/>
      <c r="K92" s="112"/>
      <c r="L92" s="112"/>
      <c r="M92" s="112"/>
      <c r="N92" s="112"/>
      <c r="O92" s="112"/>
      <c r="P92" s="112"/>
      <c r="Q92" s="112"/>
      <c r="R92" s="112"/>
      <c r="S92" s="112"/>
      <c r="T92" s="112"/>
      <c r="U92" s="112"/>
      <c r="V92" s="209"/>
      <c r="W92" s="209"/>
      <c r="X92" s="209"/>
      <c r="Y92" s="112"/>
      <c r="AA92" s="112"/>
      <c r="AB92" s="112"/>
      <c r="AP92" s="112"/>
      <c r="AQ92" s="112"/>
      <c r="AR92" s="112"/>
      <c r="AS92" s="112"/>
      <c r="AT92" s="112"/>
      <c r="AU92" s="112"/>
    </row>
    <row r="93" spans="1:47" hidden="1" x14ac:dyDescent="0.2">
      <c r="B93" s="112"/>
      <c r="C93" s="112"/>
      <c r="D93" s="112"/>
      <c r="F93" s="112"/>
      <c r="G93" s="112"/>
      <c r="H93" s="112"/>
      <c r="I93" s="112"/>
      <c r="J93" s="112"/>
      <c r="K93" s="112"/>
      <c r="L93" s="112"/>
      <c r="M93" s="112"/>
      <c r="N93" s="112"/>
      <c r="O93" s="112"/>
      <c r="P93" s="112"/>
      <c r="Q93" s="112"/>
      <c r="R93" s="112"/>
      <c r="S93" s="112"/>
      <c r="T93" s="112"/>
      <c r="U93" s="112"/>
      <c r="V93" s="209"/>
      <c r="W93" s="209"/>
      <c r="X93" s="209"/>
      <c r="Y93" s="112"/>
      <c r="AA93" s="112"/>
      <c r="AB93" s="112"/>
      <c r="AP93" s="112"/>
      <c r="AQ93" s="112"/>
      <c r="AR93" s="112"/>
      <c r="AS93" s="112"/>
      <c r="AT93" s="112"/>
      <c r="AU93" s="112"/>
    </row>
    <row r="94" spans="1:47" hidden="1" x14ac:dyDescent="0.2">
      <c r="B94" s="112"/>
      <c r="C94" s="112"/>
      <c r="D94" s="112"/>
      <c r="F94" s="112"/>
      <c r="G94" s="112"/>
      <c r="H94" s="112"/>
      <c r="I94" s="112"/>
      <c r="J94" s="112"/>
      <c r="K94" s="112"/>
      <c r="L94" s="112"/>
      <c r="M94" s="112"/>
      <c r="N94" s="112"/>
      <c r="O94" s="112"/>
      <c r="P94" s="112"/>
      <c r="Q94" s="112"/>
      <c r="R94" s="112"/>
      <c r="S94" s="112"/>
      <c r="T94" s="112"/>
      <c r="U94" s="112"/>
      <c r="V94" s="209"/>
      <c r="W94" s="209"/>
      <c r="X94" s="209"/>
      <c r="Y94" s="112"/>
      <c r="AA94" s="112"/>
      <c r="AB94" s="112"/>
      <c r="AP94" s="112"/>
      <c r="AQ94" s="112"/>
      <c r="AR94" s="112"/>
      <c r="AS94" s="112"/>
      <c r="AT94" s="112"/>
      <c r="AU94" s="112"/>
    </row>
    <row r="95" spans="1:47" hidden="1" x14ac:dyDescent="0.2">
      <c r="B95" s="112"/>
      <c r="C95" s="112"/>
      <c r="D95" s="112"/>
      <c r="F95" s="112"/>
      <c r="G95" s="112"/>
      <c r="H95" s="112"/>
      <c r="I95" s="112"/>
      <c r="J95" s="112"/>
      <c r="K95" s="112"/>
      <c r="L95" s="112"/>
      <c r="M95" s="112"/>
      <c r="N95" s="112"/>
      <c r="O95" s="112"/>
      <c r="P95" s="112"/>
      <c r="Q95" s="112"/>
      <c r="R95" s="112"/>
      <c r="S95" s="112"/>
      <c r="T95" s="112"/>
      <c r="U95" s="112"/>
      <c r="V95" s="209"/>
      <c r="W95" s="209"/>
      <c r="X95" s="209"/>
      <c r="Y95" s="112"/>
      <c r="AA95" s="112"/>
      <c r="AB95" s="112"/>
      <c r="AP95" s="112"/>
      <c r="AQ95" s="112"/>
      <c r="AR95" s="112"/>
      <c r="AS95" s="112"/>
      <c r="AT95" s="112"/>
      <c r="AU95" s="112"/>
    </row>
    <row r="96" spans="1:47" hidden="1" x14ac:dyDescent="0.2">
      <c r="B96" s="112"/>
      <c r="C96" s="112"/>
      <c r="D96" s="112"/>
      <c r="F96" s="112"/>
      <c r="G96" s="112"/>
      <c r="H96" s="112"/>
      <c r="I96" s="112"/>
      <c r="J96" s="112"/>
      <c r="K96" s="112"/>
      <c r="L96" s="112"/>
      <c r="M96" s="112"/>
      <c r="N96" s="112"/>
      <c r="O96" s="112"/>
      <c r="P96" s="112"/>
      <c r="Q96" s="112"/>
      <c r="R96" s="112"/>
      <c r="S96" s="112"/>
      <c r="T96" s="112"/>
      <c r="U96" s="112"/>
      <c r="V96" s="209"/>
      <c r="W96" s="209"/>
      <c r="X96" s="209"/>
      <c r="Y96" s="112"/>
      <c r="AA96" s="112"/>
      <c r="AB96" s="112"/>
      <c r="AP96" s="112"/>
      <c r="AQ96" s="112"/>
      <c r="AR96" s="112"/>
      <c r="AS96" s="112"/>
      <c r="AT96" s="112"/>
      <c r="AU96" s="112"/>
    </row>
    <row r="97" spans="2:47" hidden="1" x14ac:dyDescent="0.2">
      <c r="B97" s="112"/>
      <c r="C97" s="112"/>
      <c r="D97" s="112"/>
      <c r="F97" s="112"/>
      <c r="G97" s="112"/>
      <c r="H97" s="112"/>
      <c r="I97" s="112"/>
      <c r="J97" s="112"/>
      <c r="K97" s="112"/>
      <c r="L97" s="112"/>
      <c r="M97" s="112"/>
      <c r="N97" s="112"/>
      <c r="O97" s="112"/>
      <c r="P97" s="112"/>
      <c r="Q97" s="112"/>
      <c r="R97" s="112"/>
      <c r="S97" s="112"/>
      <c r="T97" s="112"/>
      <c r="U97" s="112"/>
      <c r="V97" s="209"/>
      <c r="W97" s="209"/>
      <c r="X97" s="209"/>
      <c r="Y97" s="112"/>
      <c r="AA97" s="112"/>
      <c r="AB97" s="112"/>
      <c r="AP97" s="112"/>
      <c r="AQ97" s="112"/>
      <c r="AR97" s="112"/>
      <c r="AS97" s="112"/>
      <c r="AT97" s="112"/>
      <c r="AU97" s="112"/>
    </row>
    <row r="98" spans="2:47" hidden="1" x14ac:dyDescent="0.2">
      <c r="B98" s="112"/>
      <c r="C98" s="112"/>
      <c r="D98" s="112"/>
      <c r="F98" s="112"/>
      <c r="G98" s="112"/>
      <c r="H98" s="112"/>
      <c r="I98" s="112"/>
      <c r="J98" s="112"/>
      <c r="K98" s="112"/>
      <c r="L98" s="112"/>
      <c r="M98" s="112"/>
      <c r="N98" s="112"/>
      <c r="O98" s="112"/>
      <c r="P98" s="112"/>
      <c r="Q98" s="112"/>
      <c r="R98" s="112"/>
      <c r="S98" s="112"/>
      <c r="T98" s="112"/>
      <c r="U98" s="112"/>
      <c r="V98" s="209"/>
      <c r="W98" s="209"/>
      <c r="X98" s="209"/>
      <c r="Y98" s="112"/>
      <c r="AA98" s="112"/>
      <c r="AB98" s="112"/>
      <c r="AP98" s="112"/>
      <c r="AQ98" s="112"/>
      <c r="AR98" s="112"/>
      <c r="AS98" s="112"/>
      <c r="AT98" s="112"/>
      <c r="AU98" s="112"/>
    </row>
    <row r="99" spans="2:47" hidden="1" x14ac:dyDescent="0.2">
      <c r="B99" s="112"/>
      <c r="C99" s="112"/>
      <c r="D99" s="112"/>
      <c r="F99" s="112"/>
      <c r="G99" s="112"/>
      <c r="H99" s="112"/>
      <c r="I99" s="112"/>
      <c r="J99" s="112"/>
      <c r="K99" s="112"/>
      <c r="L99" s="112"/>
      <c r="M99" s="112"/>
      <c r="N99" s="112"/>
      <c r="O99" s="112"/>
      <c r="P99" s="112"/>
      <c r="Q99" s="112"/>
      <c r="R99" s="112"/>
      <c r="S99" s="112"/>
      <c r="T99" s="112"/>
      <c r="U99" s="112"/>
      <c r="V99" s="209"/>
      <c r="W99" s="209"/>
      <c r="X99" s="209"/>
      <c r="Y99" s="112"/>
      <c r="AA99" s="112"/>
      <c r="AB99" s="112"/>
      <c r="AP99" s="112"/>
      <c r="AQ99" s="112"/>
      <c r="AR99" s="112"/>
      <c r="AS99" s="112"/>
      <c r="AT99" s="112"/>
      <c r="AU99" s="112"/>
    </row>
    <row r="100" spans="2:47" hidden="1" x14ac:dyDescent="0.2">
      <c r="B100" s="112"/>
      <c r="C100" s="112"/>
      <c r="D100" s="112"/>
      <c r="F100" s="112"/>
      <c r="G100" s="112"/>
      <c r="H100" s="112"/>
      <c r="I100" s="112"/>
      <c r="J100" s="112"/>
      <c r="K100" s="112"/>
      <c r="L100" s="112"/>
      <c r="M100" s="112"/>
      <c r="N100" s="112"/>
      <c r="O100" s="112"/>
      <c r="P100" s="112"/>
      <c r="Q100" s="112"/>
      <c r="R100" s="112"/>
      <c r="S100" s="112"/>
      <c r="T100" s="112"/>
      <c r="U100" s="112"/>
      <c r="V100" s="209"/>
      <c r="W100" s="209"/>
      <c r="X100" s="209"/>
      <c r="Y100" s="112"/>
      <c r="AA100" s="112"/>
      <c r="AB100" s="112"/>
      <c r="AP100" s="112"/>
      <c r="AQ100" s="112"/>
      <c r="AR100" s="112"/>
      <c r="AS100" s="112"/>
      <c r="AT100" s="112"/>
      <c r="AU100" s="112"/>
    </row>
    <row r="101" spans="2:47" hidden="1" x14ac:dyDescent="0.2">
      <c r="B101" s="112"/>
      <c r="C101" s="112"/>
      <c r="D101" s="112"/>
      <c r="F101" s="112"/>
      <c r="G101" s="112"/>
      <c r="H101" s="112"/>
      <c r="I101" s="112"/>
      <c r="J101" s="112"/>
      <c r="K101" s="112"/>
      <c r="L101" s="112"/>
      <c r="M101" s="112"/>
      <c r="N101" s="112"/>
      <c r="O101" s="112"/>
      <c r="P101" s="112"/>
      <c r="Q101" s="112"/>
      <c r="R101" s="112"/>
      <c r="S101" s="112"/>
      <c r="T101" s="112"/>
      <c r="U101" s="112"/>
      <c r="V101" s="209"/>
      <c r="W101" s="209"/>
      <c r="X101" s="209"/>
      <c r="Y101" s="112"/>
      <c r="AA101" s="112"/>
      <c r="AB101" s="112"/>
      <c r="AP101" s="112"/>
      <c r="AQ101" s="112"/>
      <c r="AR101" s="112"/>
      <c r="AS101" s="112"/>
      <c r="AT101" s="112"/>
      <c r="AU101" s="112"/>
    </row>
    <row r="102" spans="2:47" hidden="1" x14ac:dyDescent="0.2">
      <c r="B102" s="112"/>
      <c r="C102" s="112"/>
      <c r="D102" s="112"/>
      <c r="F102" s="112"/>
      <c r="G102" s="112"/>
      <c r="H102" s="112"/>
      <c r="I102" s="112"/>
      <c r="J102" s="112"/>
      <c r="K102" s="112"/>
      <c r="L102" s="112"/>
      <c r="M102" s="112"/>
      <c r="N102" s="112"/>
      <c r="O102" s="112"/>
      <c r="P102" s="112"/>
      <c r="Q102" s="112"/>
      <c r="R102" s="112"/>
      <c r="S102" s="112"/>
      <c r="T102" s="112"/>
      <c r="U102" s="112"/>
      <c r="V102" s="209"/>
      <c r="W102" s="209"/>
      <c r="X102" s="209"/>
      <c r="Y102" s="112"/>
      <c r="AA102" s="112"/>
      <c r="AB102" s="112"/>
      <c r="AP102" s="112"/>
      <c r="AQ102" s="112"/>
      <c r="AR102" s="112"/>
      <c r="AS102" s="112"/>
      <c r="AT102" s="112"/>
      <c r="AU102" s="112"/>
    </row>
    <row r="103" spans="2:47" hidden="1" x14ac:dyDescent="0.2">
      <c r="B103" s="112"/>
      <c r="C103" s="112"/>
      <c r="D103" s="112"/>
      <c r="F103" s="112"/>
      <c r="G103" s="112"/>
      <c r="H103" s="112"/>
      <c r="I103" s="112"/>
      <c r="J103" s="112"/>
      <c r="K103" s="112"/>
      <c r="L103" s="112"/>
      <c r="M103" s="112"/>
      <c r="N103" s="112"/>
      <c r="O103" s="112"/>
      <c r="P103" s="112"/>
      <c r="Q103" s="112"/>
      <c r="R103" s="112"/>
      <c r="S103" s="112"/>
      <c r="T103" s="112"/>
      <c r="U103" s="112"/>
      <c r="V103" s="209"/>
      <c r="W103" s="209"/>
      <c r="X103" s="209"/>
      <c r="Y103" s="112"/>
      <c r="AA103" s="112"/>
      <c r="AB103" s="112"/>
      <c r="AP103" s="112"/>
      <c r="AQ103" s="112"/>
      <c r="AR103" s="112"/>
      <c r="AS103" s="112"/>
      <c r="AT103" s="112"/>
      <c r="AU103" s="112"/>
    </row>
    <row r="104" spans="2:47" hidden="1" x14ac:dyDescent="0.2">
      <c r="B104" s="112"/>
      <c r="C104" s="112"/>
      <c r="D104" s="112"/>
      <c r="F104" s="112"/>
      <c r="G104" s="112"/>
      <c r="H104" s="112"/>
      <c r="I104" s="112"/>
      <c r="J104" s="112"/>
      <c r="K104" s="112"/>
      <c r="L104" s="112"/>
      <c r="M104" s="112"/>
      <c r="N104" s="112"/>
      <c r="O104" s="112"/>
      <c r="P104" s="112"/>
      <c r="Q104" s="112"/>
      <c r="R104" s="112"/>
      <c r="S104" s="112"/>
      <c r="T104" s="112"/>
      <c r="U104" s="112"/>
      <c r="V104" s="209"/>
      <c r="W104" s="209"/>
      <c r="X104" s="209"/>
      <c r="Y104" s="112"/>
      <c r="AA104" s="112"/>
      <c r="AB104" s="112"/>
      <c r="AD104" s="112" t="s">
        <v>15</v>
      </c>
      <c r="AH104" s="112" t="s">
        <v>16</v>
      </c>
      <c r="AP104" s="112"/>
      <c r="AQ104" s="112"/>
      <c r="AR104" s="112"/>
      <c r="AS104" s="112"/>
      <c r="AT104" s="112"/>
      <c r="AU104" s="112"/>
    </row>
    <row r="105" spans="2:47" hidden="1" x14ac:dyDescent="0.2">
      <c r="B105" s="112"/>
      <c r="C105" s="112"/>
      <c r="D105" s="112"/>
      <c r="F105" s="112"/>
      <c r="G105" s="112"/>
      <c r="H105" s="112"/>
      <c r="I105" s="112"/>
      <c r="J105" s="112"/>
      <c r="K105" s="112"/>
      <c r="L105" s="112"/>
      <c r="M105" s="112"/>
      <c r="N105" s="112"/>
      <c r="O105" s="112"/>
      <c r="P105" s="112"/>
      <c r="Q105" s="112"/>
      <c r="R105" s="112"/>
      <c r="S105" s="112"/>
      <c r="T105" s="112"/>
      <c r="U105" s="112"/>
      <c r="V105" s="209"/>
      <c r="W105" s="209"/>
      <c r="X105" s="209"/>
      <c r="Y105" s="112"/>
      <c r="AA105" s="112"/>
      <c r="AB105" s="112"/>
      <c r="AD105" s="112" t="s">
        <v>17</v>
      </c>
      <c r="AE105" s="112">
        <f>SLOPE(L9:L59,K9:K59)</f>
        <v>66.907817332204104</v>
      </c>
      <c r="AH105" s="112" t="s">
        <v>7</v>
      </c>
      <c r="AI105" s="322" t="s">
        <v>18</v>
      </c>
      <c r="AP105" s="112"/>
      <c r="AQ105" s="112"/>
      <c r="AR105" s="112"/>
      <c r="AS105" s="112"/>
      <c r="AT105" s="112"/>
      <c r="AU105" s="112"/>
    </row>
    <row r="106" spans="2:47" hidden="1" x14ac:dyDescent="0.2">
      <c r="B106" s="112"/>
      <c r="C106" s="112"/>
      <c r="D106" s="112"/>
      <c r="F106" s="112"/>
      <c r="G106" s="112"/>
      <c r="H106" s="112"/>
      <c r="I106" s="112"/>
      <c r="J106" s="112"/>
      <c r="K106" s="112"/>
      <c r="L106" s="112"/>
      <c r="M106" s="112"/>
      <c r="N106" s="112"/>
      <c r="O106" s="112"/>
      <c r="P106" s="112"/>
      <c r="Q106" s="112"/>
      <c r="R106" s="112"/>
      <c r="S106" s="112"/>
      <c r="T106" s="112"/>
      <c r="U106" s="112"/>
      <c r="V106" s="209"/>
      <c r="W106" s="209"/>
      <c r="X106" s="209"/>
      <c r="Y106" s="112"/>
      <c r="AA106" s="112"/>
      <c r="AB106" s="112"/>
      <c r="AD106" s="112" t="s">
        <v>19</v>
      </c>
      <c r="AE106" s="112">
        <f>INTERCEPT(L9:L59,K9:K59)</f>
        <v>4.1614903409041633</v>
      </c>
      <c r="AG106" s="112" t="s">
        <v>20</v>
      </c>
      <c r="AH106" s="112">
        <f>I9</f>
        <v>5</v>
      </c>
      <c r="AI106" s="322">
        <f>(AE105*AH106)+AE106</f>
        <v>338.70057700192467</v>
      </c>
      <c r="AP106" s="112"/>
      <c r="AQ106" s="112"/>
      <c r="AR106" s="112"/>
      <c r="AS106" s="112"/>
      <c r="AT106" s="112"/>
      <c r="AU106" s="112"/>
    </row>
    <row r="107" spans="2:47" hidden="1" x14ac:dyDescent="0.2">
      <c r="B107" s="112"/>
      <c r="C107" s="112"/>
      <c r="D107" s="112"/>
      <c r="F107" s="112"/>
      <c r="G107" s="112"/>
      <c r="H107" s="112"/>
      <c r="I107" s="112"/>
      <c r="J107" s="112"/>
      <c r="K107" s="112"/>
      <c r="L107" s="112"/>
      <c r="M107" s="112"/>
      <c r="N107" s="112"/>
      <c r="O107" s="112"/>
      <c r="P107" s="112"/>
      <c r="Q107" s="112"/>
      <c r="R107" s="112"/>
      <c r="S107" s="112"/>
      <c r="T107" s="112"/>
      <c r="U107" s="112"/>
      <c r="V107" s="209"/>
      <c r="W107" s="209"/>
      <c r="X107" s="209"/>
      <c r="Y107" s="112"/>
      <c r="AA107" s="112"/>
      <c r="AB107" s="112"/>
      <c r="AG107" s="112" t="s">
        <v>21</v>
      </c>
      <c r="AH107" s="112">
        <f>Q114</f>
        <v>3.0000000000000001E-3</v>
      </c>
      <c r="AI107" s="322">
        <f>(AE105*AH107)+AE106</f>
        <v>4.3622137929007758</v>
      </c>
      <c r="AP107" s="112"/>
      <c r="AQ107" s="112"/>
      <c r="AR107" s="112"/>
      <c r="AS107" s="112"/>
      <c r="AT107" s="112"/>
      <c r="AU107" s="112"/>
    </row>
    <row r="108" spans="2:47" hidden="1" x14ac:dyDescent="0.2">
      <c r="B108" s="112"/>
      <c r="C108" s="112"/>
      <c r="D108" s="112"/>
      <c r="F108" s="112"/>
      <c r="G108" s="112"/>
      <c r="H108" s="112"/>
      <c r="I108" s="112"/>
      <c r="J108" s="112"/>
      <c r="K108" s="112"/>
      <c r="L108" s="112"/>
      <c r="M108" s="112"/>
      <c r="N108" s="112"/>
      <c r="O108" s="112"/>
      <c r="P108" s="112"/>
      <c r="Q108" s="112"/>
      <c r="R108" s="112"/>
      <c r="S108" s="112"/>
      <c r="T108" s="112"/>
      <c r="U108" s="112"/>
      <c r="V108" s="209"/>
      <c r="W108" s="209"/>
      <c r="X108" s="209"/>
      <c r="Y108" s="112"/>
      <c r="AA108" s="112"/>
      <c r="AB108" s="112"/>
      <c r="AD108" s="112" t="s">
        <v>22</v>
      </c>
      <c r="AE108" s="112" t="s">
        <v>7</v>
      </c>
      <c r="AF108" s="112" t="s">
        <v>18</v>
      </c>
      <c r="AP108" s="112"/>
      <c r="AQ108" s="112"/>
      <c r="AR108" s="112"/>
      <c r="AS108" s="112"/>
      <c r="AT108" s="112"/>
      <c r="AU108" s="112"/>
    </row>
    <row r="109" spans="2:47" hidden="1" x14ac:dyDescent="0.2">
      <c r="B109" s="112"/>
      <c r="C109" s="112"/>
      <c r="D109" s="112"/>
      <c r="F109" s="112"/>
      <c r="G109" s="112"/>
      <c r="H109" s="112"/>
      <c r="I109" s="112"/>
      <c r="J109" s="112"/>
      <c r="K109" s="112"/>
      <c r="L109" s="112"/>
      <c r="M109" s="112"/>
      <c r="N109" s="112"/>
      <c r="O109" s="112"/>
      <c r="P109" s="112"/>
      <c r="Q109" s="112"/>
      <c r="R109" s="112"/>
      <c r="S109" s="112"/>
      <c r="T109" s="112"/>
      <c r="U109" s="112"/>
      <c r="V109" s="209"/>
      <c r="W109" s="209"/>
      <c r="X109" s="209"/>
      <c r="Y109" s="112"/>
      <c r="AA109" s="112"/>
      <c r="AB109" s="112"/>
      <c r="AE109" s="112">
        <f>(AF109-AE106)/AE105</f>
        <v>-2.4832529398690368E-2</v>
      </c>
      <c r="AF109" s="112">
        <v>2.5</v>
      </c>
      <c r="AG109" s="112" t="s">
        <v>23</v>
      </c>
      <c r="AP109" s="112"/>
      <c r="AQ109" s="112"/>
      <c r="AR109" s="112"/>
      <c r="AS109" s="112"/>
      <c r="AT109" s="112"/>
      <c r="AU109" s="112"/>
    </row>
    <row r="110" spans="2:47" hidden="1" x14ac:dyDescent="0.2">
      <c r="B110" s="112"/>
      <c r="C110" s="112"/>
      <c r="D110" s="112"/>
      <c r="F110" s="112"/>
      <c r="G110" s="112"/>
      <c r="H110" s="112"/>
      <c r="I110" s="112"/>
      <c r="J110" s="112"/>
      <c r="K110" s="112"/>
      <c r="L110" s="112"/>
      <c r="M110" s="112"/>
      <c r="N110" s="112"/>
      <c r="O110" s="112"/>
      <c r="P110" s="112"/>
      <c r="Q110" s="112"/>
      <c r="R110" s="112"/>
      <c r="S110" s="112"/>
      <c r="T110" s="112"/>
      <c r="U110" s="112"/>
      <c r="V110" s="209"/>
      <c r="W110" s="209"/>
      <c r="X110" s="209"/>
      <c r="Y110" s="112"/>
      <c r="AA110" s="112"/>
      <c r="AB110" s="112"/>
      <c r="AE110" s="112">
        <f>(AF110-AE106)/AE105</f>
        <v>4.7356344675897361E-2</v>
      </c>
      <c r="AF110" s="112">
        <v>7.33</v>
      </c>
      <c r="AP110" s="112"/>
      <c r="AQ110" s="112"/>
      <c r="AR110" s="112"/>
      <c r="AS110" s="112"/>
      <c r="AT110" s="112"/>
      <c r="AU110" s="112"/>
    </row>
    <row r="111" spans="2:47" hidden="1" x14ac:dyDescent="0.2">
      <c r="B111" s="112"/>
      <c r="C111" s="112"/>
      <c r="D111" s="112"/>
      <c r="F111" s="112"/>
      <c r="G111" s="112"/>
      <c r="H111" s="112"/>
      <c r="I111" s="112"/>
      <c r="J111" s="112"/>
      <c r="K111" s="112"/>
      <c r="L111" s="112"/>
      <c r="M111" s="112"/>
      <c r="N111" s="112"/>
      <c r="O111" s="112"/>
      <c r="P111" s="112"/>
      <c r="Q111" s="112"/>
      <c r="R111" s="112"/>
      <c r="S111" s="112"/>
      <c r="T111" s="112"/>
      <c r="U111" s="112"/>
      <c r="V111" s="209"/>
      <c r="W111" s="209"/>
      <c r="X111" s="209"/>
      <c r="Y111" s="112"/>
      <c r="AA111" s="112"/>
      <c r="AB111" s="112"/>
      <c r="AP111" s="112"/>
      <c r="AQ111" s="112"/>
      <c r="AR111" s="112"/>
      <c r="AS111" s="112"/>
      <c r="AT111" s="112"/>
      <c r="AU111" s="112"/>
    </row>
    <row r="112" spans="2:47" hidden="1" x14ac:dyDescent="0.2">
      <c r="B112" s="112"/>
      <c r="C112" s="112"/>
      <c r="D112" s="112"/>
      <c r="F112" s="112" t="s">
        <v>24</v>
      </c>
      <c r="G112" s="112"/>
      <c r="H112" s="112"/>
      <c r="I112" s="112"/>
      <c r="J112" s="112"/>
      <c r="K112" s="112"/>
      <c r="L112" s="112"/>
      <c r="M112" s="112"/>
      <c r="N112" s="112"/>
      <c r="O112" s="112"/>
      <c r="P112" s="112" t="s">
        <v>25</v>
      </c>
      <c r="Q112" s="112"/>
      <c r="R112" s="112"/>
      <c r="S112" s="112"/>
      <c r="T112" s="112"/>
      <c r="U112" s="112"/>
      <c r="V112" s="209"/>
      <c r="W112" s="209"/>
      <c r="X112" s="209"/>
      <c r="Y112" s="112"/>
      <c r="AA112" s="112"/>
      <c r="AB112" s="112"/>
      <c r="AP112" s="112"/>
      <c r="AQ112" s="112"/>
      <c r="AR112" s="112"/>
      <c r="AS112" s="112"/>
      <c r="AT112" s="112"/>
      <c r="AU112" s="112"/>
    </row>
    <row r="113" spans="2:47" hidden="1" x14ac:dyDescent="0.2">
      <c r="B113" s="112" t="s">
        <v>26</v>
      </c>
      <c r="C113" s="112"/>
      <c r="D113" s="112" t="s">
        <v>26</v>
      </c>
      <c r="F113" s="112"/>
      <c r="G113" s="112" t="s">
        <v>27</v>
      </c>
      <c r="H113" s="112"/>
      <c r="I113" s="112"/>
      <c r="J113" s="112"/>
      <c r="K113" s="112"/>
      <c r="L113" s="112" t="s">
        <v>28</v>
      </c>
      <c r="M113" s="112" t="s">
        <v>29</v>
      </c>
      <c r="N113" s="112" t="s">
        <v>30</v>
      </c>
      <c r="O113" s="112" t="s">
        <v>445</v>
      </c>
      <c r="P113" s="112" t="s">
        <v>31</v>
      </c>
      <c r="Q113" s="112" t="s">
        <v>32</v>
      </c>
      <c r="R113" s="112"/>
      <c r="S113" s="112"/>
      <c r="T113" s="112"/>
      <c r="U113" s="112" t="s">
        <v>30</v>
      </c>
      <c r="V113" s="209" t="s">
        <v>4</v>
      </c>
      <c r="W113" s="209"/>
      <c r="X113" s="209"/>
      <c r="Y113" s="112"/>
      <c r="AA113" s="112"/>
      <c r="AB113" s="112"/>
      <c r="AD113" s="112" t="s">
        <v>34</v>
      </c>
      <c r="AP113" s="112"/>
      <c r="AQ113" s="112"/>
      <c r="AR113" s="112"/>
      <c r="AS113" s="112"/>
      <c r="AT113" s="112"/>
      <c r="AU113" s="112"/>
    </row>
    <row r="114" spans="2:47" hidden="1" x14ac:dyDescent="0.2">
      <c r="B114" s="112">
        <f t="shared" ref="B114:D145" si="26">B12</f>
        <v>3.0000000000000001E-3</v>
      </c>
      <c r="C114" s="112"/>
      <c r="D114" s="112">
        <f t="shared" si="26"/>
        <v>3.0000000000000001E-3</v>
      </c>
      <c r="F114" s="112"/>
      <c r="G114" s="112">
        <f>$AB$8</f>
        <v>0.03</v>
      </c>
      <c r="H114" s="112"/>
      <c r="I114" s="112"/>
      <c r="J114" s="112"/>
      <c r="K114" s="112"/>
      <c r="L114" s="112">
        <f>IF(ISNUMBER(M114),P114)</f>
        <v>1</v>
      </c>
      <c r="M114" s="112">
        <f>IF(ISNUMBER(B114),B114,NA())</f>
        <v>3.0000000000000001E-3</v>
      </c>
      <c r="N114" s="112">
        <f>NORMSINV(V114)+5</f>
        <v>3.6170058728993606</v>
      </c>
      <c r="O114" s="112" t="str">
        <f>C12</f>
        <v/>
      </c>
      <c r="P114" s="112">
        <v>1</v>
      </c>
      <c r="Q114" s="112">
        <f>IF(P114&lt;$AB$6+1,SMALL($D$12:$D$62,P114),NA())</f>
        <v>3.0000000000000001E-3</v>
      </c>
      <c r="R114" s="112"/>
      <c r="S114" s="112"/>
      <c r="T114" s="112"/>
      <c r="U114" s="112">
        <f t="shared" ref="U114:U145" si="27">NORMSINV(V114)+5</f>
        <v>3.6170058728993606</v>
      </c>
      <c r="V114" s="209">
        <f t="shared" ref="V114:V145" si="28">IF(P114&lt;$AB$6+1,((P114)/($AB$6+1)),NA())</f>
        <v>8.3333333333333329E-2</v>
      </c>
      <c r="W114" s="209"/>
      <c r="X114" s="209"/>
      <c r="Y114" s="112"/>
      <c r="AA114" s="112"/>
      <c r="AB114" s="112" t="s">
        <v>33</v>
      </c>
      <c r="AD114" s="112" t="s">
        <v>17</v>
      </c>
      <c r="AE114" s="112">
        <f>SLOPE(L9:L59,N9:N59)</f>
        <v>0.94068283756479865</v>
      </c>
      <c r="AP114" s="112"/>
      <c r="AQ114" s="112"/>
      <c r="AR114" s="112"/>
      <c r="AS114" s="112"/>
      <c r="AT114" s="112"/>
      <c r="AU114" s="112"/>
    </row>
    <row r="115" spans="2:47" hidden="1" x14ac:dyDescent="0.2">
      <c r="B115" s="112">
        <f t="shared" ref="B115" si="29">B13</f>
        <v>1.6500000000000001E-2</v>
      </c>
      <c r="C115" s="112"/>
      <c r="D115" s="112">
        <f t="shared" ref="D115" si="30">D13</f>
        <v>1.6500000000000001E-2</v>
      </c>
      <c r="F115" s="112">
        <v>1E-4</v>
      </c>
      <c r="G115" s="112">
        <f>IF(AND(0.00001&lt;$G$114,$G$114&lt;=0.0001),0.0001,0)</f>
        <v>0</v>
      </c>
      <c r="H115" s="112"/>
      <c r="I115" s="112"/>
      <c r="J115" s="112"/>
      <c r="K115" s="112"/>
      <c r="L115" s="112">
        <f t="shared" ref="L115:L130" si="31">IF(ISNUMBER(M115),P115)</f>
        <v>2</v>
      </c>
      <c r="M115" s="112">
        <f t="shared" ref="M115:M164" si="32">IF(ISNUMBER(B115),B115,NA())</f>
        <v>1.6500000000000001E-2</v>
      </c>
      <c r="N115" s="112">
        <f t="shared" ref="N115:N164" si="33">NORMSINV(V115)+5</f>
        <v>4.0325784338982995</v>
      </c>
      <c r="O115" s="112" t="str">
        <f t="shared" ref="O115:O163" si="34">C13</f>
        <v/>
      </c>
      <c r="P115" s="112">
        <v>2</v>
      </c>
      <c r="Q115" s="112">
        <f t="shared" ref="Q115:Q145" si="35">IF(P115&lt;$AB$6+1,SMALL($D$12:$D$62,P115),NA())</f>
        <v>3.2000000000000002E-3</v>
      </c>
      <c r="R115" s="112"/>
      <c r="S115" s="112"/>
      <c r="T115" s="112"/>
      <c r="U115" s="112">
        <f t="shared" si="27"/>
        <v>4.0325784338982995</v>
      </c>
      <c r="V115" s="209">
        <f t="shared" si="28"/>
        <v>0.16666666666666666</v>
      </c>
      <c r="W115" s="209"/>
      <c r="X115" s="209"/>
      <c r="Y115" s="112"/>
      <c r="AA115" s="112"/>
      <c r="AB115" s="112">
        <f t="shared" ref="AB115:AB146" si="36">RANK(D12,$D$12:$D$62, 1)</f>
        <v>1</v>
      </c>
      <c r="AD115" s="112" t="s">
        <v>19</v>
      </c>
      <c r="AE115" s="112">
        <f>INTERCEPT(L9:L59,N9:N59)</f>
        <v>9.4430758889539241</v>
      </c>
      <c r="AP115" s="112"/>
      <c r="AQ115" s="112"/>
      <c r="AR115" s="112"/>
      <c r="AS115" s="112"/>
      <c r="AT115" s="112"/>
      <c r="AU115" s="112"/>
    </row>
    <row r="116" spans="2:47" hidden="1" x14ac:dyDescent="0.2">
      <c r="B116" s="112">
        <f t="shared" ref="B116" si="37">B14</f>
        <v>1.2999999999999999E-2</v>
      </c>
      <c r="C116" s="112"/>
      <c r="D116" s="112">
        <f t="shared" ref="D116" si="38">D14</f>
        <v>6.3664274045222491E-3</v>
      </c>
      <c r="F116" s="112">
        <v>1E-3</v>
      </c>
      <c r="G116" s="112">
        <f>IF(AND(0.0001&lt;$G$114,$G$114&lt;=0.001),0.001,0)</f>
        <v>0</v>
      </c>
      <c r="H116" s="112"/>
      <c r="I116" s="112"/>
      <c r="J116" s="112"/>
      <c r="K116" s="112"/>
      <c r="L116" s="112">
        <f t="shared" si="31"/>
        <v>3</v>
      </c>
      <c r="M116" s="112">
        <f t="shared" si="32"/>
        <v>1.2999999999999999E-2</v>
      </c>
      <c r="N116" s="112">
        <f t="shared" si="33"/>
        <v>4.3255102498039184</v>
      </c>
      <c r="O116" s="112" t="str">
        <f t="shared" si="34"/>
        <v>&lt;</v>
      </c>
      <c r="P116" s="112">
        <v>3</v>
      </c>
      <c r="Q116" s="112">
        <f t="shared" si="35"/>
        <v>4.7999999999999996E-3</v>
      </c>
      <c r="R116" s="112"/>
      <c r="S116" s="112"/>
      <c r="T116" s="112"/>
      <c r="U116" s="112">
        <f t="shared" si="27"/>
        <v>4.3255102498039184</v>
      </c>
      <c r="V116" s="209">
        <f t="shared" si="28"/>
        <v>0.25</v>
      </c>
      <c r="W116" s="209"/>
      <c r="X116" s="209"/>
      <c r="Y116" s="112"/>
      <c r="AA116" s="112"/>
      <c r="AB116" s="112">
        <f t="shared" si="36"/>
        <v>8</v>
      </c>
      <c r="AP116" s="112"/>
      <c r="AQ116" s="112"/>
      <c r="AR116" s="112"/>
      <c r="AS116" s="112"/>
      <c r="AT116" s="112"/>
      <c r="AU116" s="112"/>
    </row>
    <row r="117" spans="2:47" hidden="1" x14ac:dyDescent="0.2">
      <c r="B117" s="112">
        <f t="shared" ref="B117" si="39">B15</f>
        <v>3.2000000000000002E-3</v>
      </c>
      <c r="C117" s="112"/>
      <c r="D117" s="112">
        <f t="shared" ref="D117" si="40">D15</f>
        <v>3.2000000000000002E-3</v>
      </c>
      <c r="F117" s="112">
        <v>0.01</v>
      </c>
      <c r="G117" s="112">
        <f>IF(AND(0.001&lt;$G$114,$G$114&lt;=0.01),0.01,0)</f>
        <v>0</v>
      </c>
      <c r="H117" s="112"/>
      <c r="I117" s="112"/>
      <c r="J117" s="112"/>
      <c r="K117" s="112"/>
      <c r="L117" s="112">
        <f t="shared" si="31"/>
        <v>4</v>
      </c>
      <c r="M117" s="112">
        <f t="shared" si="32"/>
        <v>3.2000000000000002E-3</v>
      </c>
      <c r="N117" s="112">
        <f t="shared" si="33"/>
        <v>4.5692727007045422</v>
      </c>
      <c r="O117" s="112" t="str">
        <f t="shared" si="34"/>
        <v/>
      </c>
      <c r="P117" s="112">
        <v>4</v>
      </c>
      <c r="Q117" s="112">
        <f t="shared" si="35"/>
        <v>6.3664274045222491E-3</v>
      </c>
      <c r="R117" s="112"/>
      <c r="S117" s="112"/>
      <c r="T117" s="112"/>
      <c r="U117" s="112">
        <f t="shared" si="27"/>
        <v>4.5692727007045422</v>
      </c>
      <c r="V117" s="209">
        <f t="shared" si="28"/>
        <v>0.33333333333333331</v>
      </c>
      <c r="W117" s="209"/>
      <c r="X117" s="209"/>
      <c r="Y117" s="112"/>
      <c r="AA117" s="112"/>
      <c r="AB117" s="112">
        <f t="shared" si="36"/>
        <v>4</v>
      </c>
      <c r="AD117" s="112" t="s">
        <v>22</v>
      </c>
      <c r="AE117" s="112" t="s">
        <v>7</v>
      </c>
      <c r="AF117" s="112" t="s">
        <v>18</v>
      </c>
      <c r="AG117" s="112" t="s">
        <v>35</v>
      </c>
      <c r="AP117" s="112"/>
      <c r="AQ117" s="112"/>
      <c r="AR117" s="112"/>
      <c r="AS117" s="112"/>
      <c r="AT117" s="112"/>
      <c r="AU117" s="112"/>
    </row>
    <row r="118" spans="2:47" hidden="1" x14ac:dyDescent="0.2">
      <c r="B118" s="112">
        <f t="shared" ref="B118" si="41">B16</f>
        <v>4.7999999999999996E-3</v>
      </c>
      <c r="C118" s="112"/>
      <c r="D118" s="112">
        <f t="shared" ref="D118" si="42">D16</f>
        <v>4.7999999999999996E-3</v>
      </c>
      <c r="F118" s="112">
        <v>0.1</v>
      </c>
      <c r="G118" s="112">
        <f>IF(AND(0.01&lt;$G$114,$G$114&lt;=0.1),0.1,0)</f>
        <v>0.1</v>
      </c>
      <c r="H118" s="112"/>
      <c r="I118" s="112"/>
      <c r="J118" s="112"/>
      <c r="K118" s="112"/>
      <c r="L118" s="112">
        <f t="shared" si="31"/>
        <v>5</v>
      </c>
      <c r="M118" s="112">
        <f t="shared" si="32"/>
        <v>4.7999999999999996E-3</v>
      </c>
      <c r="N118" s="112">
        <f t="shared" si="33"/>
        <v>4.7895716057520756</v>
      </c>
      <c r="O118" s="112" t="str">
        <f t="shared" si="34"/>
        <v/>
      </c>
      <c r="P118" s="112">
        <v>5</v>
      </c>
      <c r="Q118" s="112">
        <f t="shared" si="35"/>
        <v>6.3664274045222491E-3</v>
      </c>
      <c r="R118" s="112"/>
      <c r="S118" s="112"/>
      <c r="T118" s="112"/>
      <c r="U118" s="112">
        <f t="shared" si="27"/>
        <v>4.7895716057520756</v>
      </c>
      <c r="V118" s="209">
        <f t="shared" si="28"/>
        <v>0.41666666666666669</v>
      </c>
      <c r="W118" s="209"/>
      <c r="X118" s="209"/>
      <c r="Y118" s="112"/>
      <c r="AA118" s="112"/>
      <c r="AB118" s="112">
        <f t="shared" si="36"/>
        <v>2</v>
      </c>
      <c r="AD118" s="112" t="s">
        <v>36</v>
      </c>
      <c r="AE118" s="112">
        <f>EXP(AG118)</f>
        <v>6.2304656525512248E-4</v>
      </c>
      <c r="AF118" s="112">
        <v>2.5</v>
      </c>
      <c r="AG118" s="112">
        <f>(AF118-AE115)/AE114</f>
        <v>-7.3808892983823071</v>
      </c>
      <c r="AP118" s="112"/>
      <c r="AQ118" s="112"/>
      <c r="AR118" s="112"/>
      <c r="AS118" s="112"/>
      <c r="AT118" s="112"/>
      <c r="AU118" s="112"/>
    </row>
    <row r="119" spans="2:47" hidden="1" x14ac:dyDescent="0.2">
      <c r="B119" s="112">
        <f t="shared" ref="B119" si="43">B17</f>
        <v>3.1399999999999997E-2</v>
      </c>
      <c r="C119" s="112"/>
      <c r="D119" s="112">
        <f t="shared" ref="D119" si="44">D17</f>
        <v>3.1399999999999997E-2</v>
      </c>
      <c r="F119" s="112">
        <v>1</v>
      </c>
      <c r="G119" s="112">
        <f>IF(AND(0.1&lt;$G$114,$G$114&lt;=1),1,0)</f>
        <v>0</v>
      </c>
      <c r="H119" s="112"/>
      <c r="I119" s="112"/>
      <c r="J119" s="112"/>
      <c r="K119" s="112"/>
      <c r="L119" s="112">
        <f t="shared" si="31"/>
        <v>6</v>
      </c>
      <c r="M119" s="112">
        <f t="shared" si="32"/>
        <v>3.1399999999999997E-2</v>
      </c>
      <c r="N119" s="112">
        <f t="shared" si="33"/>
        <v>5</v>
      </c>
      <c r="O119" s="112" t="str">
        <f t="shared" si="34"/>
        <v/>
      </c>
      <c r="P119" s="112">
        <v>6</v>
      </c>
      <c r="Q119" s="112">
        <f t="shared" si="35"/>
        <v>6.3664274045222491E-3</v>
      </c>
      <c r="R119" s="112"/>
      <c r="S119" s="112"/>
      <c r="T119" s="112"/>
      <c r="U119" s="112">
        <f t="shared" si="27"/>
        <v>5</v>
      </c>
      <c r="V119" s="209">
        <f t="shared" si="28"/>
        <v>0.5</v>
      </c>
      <c r="W119" s="209"/>
      <c r="X119" s="209"/>
      <c r="Y119" s="112"/>
      <c r="AA119" s="112"/>
      <c r="AB119" s="112">
        <f t="shared" si="36"/>
        <v>3</v>
      </c>
      <c r="AD119" s="112" t="s">
        <v>37</v>
      </c>
      <c r="AE119" s="112">
        <f>EXP(AG119)</f>
        <v>0.10578767137082533</v>
      </c>
      <c r="AF119" s="112">
        <v>7.33</v>
      </c>
      <c r="AG119" s="112">
        <f>(AF119-AE115)/AE114</f>
        <v>-2.2463212940337773</v>
      </c>
      <c r="AP119" s="112"/>
      <c r="AQ119" s="112"/>
      <c r="AR119" s="112"/>
      <c r="AS119" s="112"/>
      <c r="AT119" s="112"/>
      <c r="AU119" s="112"/>
    </row>
    <row r="120" spans="2:47" hidden="1" x14ac:dyDescent="0.2">
      <c r="B120" s="112">
        <f t="shared" ref="B120" si="45">B18</f>
        <v>1.2999999999999999E-2</v>
      </c>
      <c r="C120" s="112"/>
      <c r="D120" s="112">
        <f t="shared" ref="D120" si="46">D18</f>
        <v>6.3664274045222491E-3</v>
      </c>
      <c r="F120" s="112">
        <v>10</v>
      </c>
      <c r="G120" s="112">
        <f>IF(AND(1&lt;$G$114,$G$114&lt;=10),10,0)</f>
        <v>0</v>
      </c>
      <c r="H120" s="112"/>
      <c r="I120" s="112"/>
      <c r="J120" s="112"/>
      <c r="K120" s="112"/>
      <c r="L120" s="112">
        <f t="shared" si="31"/>
        <v>7</v>
      </c>
      <c r="M120" s="112">
        <f t="shared" si="32"/>
        <v>1.2999999999999999E-2</v>
      </c>
      <c r="N120" s="112">
        <f t="shared" si="33"/>
        <v>5.2104283942479253</v>
      </c>
      <c r="O120" s="112" t="str">
        <f t="shared" si="34"/>
        <v>&lt;</v>
      </c>
      <c r="P120" s="112">
        <v>7</v>
      </c>
      <c r="Q120" s="112">
        <f t="shared" si="35"/>
        <v>6.8561525894854994E-3</v>
      </c>
      <c r="R120" s="112"/>
      <c r="S120" s="112"/>
      <c r="T120" s="112"/>
      <c r="U120" s="112">
        <f t="shared" si="27"/>
        <v>5.2104283942479253</v>
      </c>
      <c r="V120" s="209">
        <f t="shared" si="28"/>
        <v>0.58333333333333337</v>
      </c>
      <c r="W120" s="209"/>
      <c r="X120" s="209"/>
      <c r="Y120" s="112"/>
      <c r="AA120" s="112"/>
      <c r="AB120" s="112">
        <f t="shared" si="36"/>
        <v>10</v>
      </c>
      <c r="AP120" s="112"/>
      <c r="AQ120" s="112"/>
      <c r="AR120" s="112"/>
      <c r="AS120" s="112"/>
      <c r="AT120" s="112"/>
      <c r="AU120" s="112"/>
    </row>
    <row r="121" spans="2:47" hidden="1" x14ac:dyDescent="0.2">
      <c r="B121" s="112">
        <f t="shared" ref="B121" si="47">B19</f>
        <v>1.2999999999999999E-2</v>
      </c>
      <c r="C121" s="112"/>
      <c r="D121" s="112">
        <f t="shared" ref="D121" si="48">D19</f>
        <v>6.3664274045222491E-3</v>
      </c>
      <c r="F121" s="112">
        <v>100</v>
      </c>
      <c r="G121" s="112">
        <f>IF(AND(10&lt;$G$114,$G$114&lt;=100),100,0)</f>
        <v>0</v>
      </c>
      <c r="H121" s="112"/>
      <c r="I121" s="112"/>
      <c r="J121" s="112"/>
      <c r="K121" s="112"/>
      <c r="L121" s="112">
        <f t="shared" si="31"/>
        <v>8</v>
      </c>
      <c r="M121" s="112">
        <f t="shared" si="32"/>
        <v>1.2999999999999999E-2</v>
      </c>
      <c r="N121" s="112">
        <f t="shared" si="33"/>
        <v>5.4307272992954578</v>
      </c>
      <c r="O121" s="112" t="str">
        <f t="shared" si="34"/>
        <v>&lt;</v>
      </c>
      <c r="P121" s="112">
        <v>8</v>
      </c>
      <c r="Q121" s="112">
        <f t="shared" si="35"/>
        <v>1.6500000000000001E-2</v>
      </c>
      <c r="R121" s="112"/>
      <c r="S121" s="112"/>
      <c r="T121" s="112"/>
      <c r="U121" s="112">
        <f t="shared" si="27"/>
        <v>5.4307272992954578</v>
      </c>
      <c r="V121" s="209">
        <f t="shared" si="28"/>
        <v>0.66666666666666663</v>
      </c>
      <c r="W121" s="209"/>
      <c r="X121" s="209"/>
      <c r="Y121" s="112"/>
      <c r="AA121" s="112"/>
      <c r="AB121" s="112">
        <f t="shared" si="36"/>
        <v>4</v>
      </c>
      <c r="AD121" s="112" t="s">
        <v>242</v>
      </c>
      <c r="AP121" s="112"/>
      <c r="AQ121" s="112"/>
      <c r="AR121" s="112"/>
      <c r="AS121" s="112"/>
      <c r="AT121" s="112"/>
      <c r="AU121" s="112"/>
    </row>
    <row r="122" spans="2:47" hidden="1" x14ac:dyDescent="0.2">
      <c r="B122" s="112">
        <f t="shared" ref="B122" si="49">B20</f>
        <v>3.4000000000000002E-2</v>
      </c>
      <c r="C122" s="112"/>
      <c r="D122" s="112">
        <f t="shared" ref="D122" si="50">D20</f>
        <v>3.4000000000000002E-2</v>
      </c>
      <c r="F122" s="112">
        <v>1000</v>
      </c>
      <c r="G122" s="112">
        <f>IF(AND(100&lt;$G$114,$G$114&lt;=1000),1000,0)</f>
        <v>0</v>
      </c>
      <c r="H122" s="112"/>
      <c r="I122" s="112"/>
      <c r="J122" s="112"/>
      <c r="K122" s="112"/>
      <c r="L122" s="112">
        <f t="shared" si="31"/>
        <v>9</v>
      </c>
      <c r="M122" s="112">
        <f t="shared" si="32"/>
        <v>3.4000000000000002E-2</v>
      </c>
      <c r="N122" s="112">
        <f t="shared" si="33"/>
        <v>5.6744897501960816</v>
      </c>
      <c r="O122" s="112" t="str">
        <f t="shared" si="34"/>
        <v/>
      </c>
      <c r="P122" s="112">
        <v>9</v>
      </c>
      <c r="Q122" s="112">
        <f t="shared" si="35"/>
        <v>1.9E-2</v>
      </c>
      <c r="R122" s="112"/>
      <c r="S122" s="112"/>
      <c r="T122" s="112"/>
      <c r="U122" s="112">
        <f t="shared" si="27"/>
        <v>5.6744897501960816</v>
      </c>
      <c r="V122" s="209">
        <f t="shared" si="28"/>
        <v>0.75</v>
      </c>
      <c r="W122" s="209"/>
      <c r="X122" s="209"/>
      <c r="Y122" s="112"/>
      <c r="AA122" s="112"/>
      <c r="AB122" s="112">
        <f t="shared" si="36"/>
        <v>4</v>
      </c>
      <c r="AH122" s="112" t="s">
        <v>38</v>
      </c>
      <c r="AL122" s="112" t="s">
        <v>39</v>
      </c>
      <c r="AN122" s="112" t="s">
        <v>40</v>
      </c>
      <c r="AP122" s="112"/>
      <c r="AQ122" s="112"/>
      <c r="AR122" s="112"/>
      <c r="AS122" s="112"/>
      <c r="AT122" s="112"/>
      <c r="AU122" s="112"/>
    </row>
    <row r="123" spans="2:47" hidden="1" x14ac:dyDescent="0.2">
      <c r="B123" s="112">
        <f t="shared" ref="B123" si="51">B21</f>
        <v>1.4E-2</v>
      </c>
      <c r="C123" s="112"/>
      <c r="D123" s="112">
        <f t="shared" ref="D123" si="52">D21</f>
        <v>6.8561525894854994E-3</v>
      </c>
      <c r="F123" s="112">
        <v>10000</v>
      </c>
      <c r="G123" s="112">
        <f>IF(AND(1000&lt;$G$114,$G$114&lt;=10000),10000,0)</f>
        <v>0</v>
      </c>
      <c r="H123" s="112"/>
      <c r="I123" s="112"/>
      <c r="J123" s="112"/>
      <c r="K123" s="112"/>
      <c r="L123" s="112">
        <f t="shared" si="31"/>
        <v>10</v>
      </c>
      <c r="M123" s="112">
        <f t="shared" si="32"/>
        <v>1.4E-2</v>
      </c>
      <c r="N123" s="112">
        <f t="shared" si="33"/>
        <v>5.9674215661017005</v>
      </c>
      <c r="O123" s="112" t="str">
        <f t="shared" si="34"/>
        <v>&lt;</v>
      </c>
      <c r="P123" s="112">
        <v>10</v>
      </c>
      <c r="Q123" s="112">
        <f t="shared" si="35"/>
        <v>3.1399999999999997E-2</v>
      </c>
      <c r="R123" s="112"/>
      <c r="S123" s="112"/>
      <c r="T123" s="112"/>
      <c r="U123" s="112">
        <f t="shared" si="27"/>
        <v>5.9674215661017005</v>
      </c>
      <c r="V123" s="209">
        <f t="shared" si="28"/>
        <v>0.83333333333333337</v>
      </c>
      <c r="W123" s="209"/>
      <c r="X123" s="209"/>
      <c r="Y123" s="112"/>
      <c r="AA123" s="112"/>
      <c r="AB123" s="112">
        <f t="shared" si="36"/>
        <v>11</v>
      </c>
      <c r="AD123" s="112" t="s">
        <v>41</v>
      </c>
      <c r="AF123" s="112" t="s">
        <v>42</v>
      </c>
      <c r="AH123" s="112" t="s">
        <v>43</v>
      </c>
      <c r="AI123" s="322">
        <f>NORMSINV(0.95)</f>
        <v>1.6448536269514715</v>
      </c>
      <c r="AL123" s="112" t="s">
        <v>44</v>
      </c>
      <c r="AM123" s="112">
        <f>N</f>
        <v>11</v>
      </c>
      <c r="AN123" s="112" t="s">
        <v>44</v>
      </c>
      <c r="AO123" s="112">
        <f>AB6</f>
        <v>11</v>
      </c>
      <c r="AP123" s="112"/>
      <c r="AQ123" s="112"/>
      <c r="AR123" s="112"/>
      <c r="AS123" s="112"/>
      <c r="AT123" s="112"/>
      <c r="AU123" s="112"/>
    </row>
    <row r="124" spans="2:47" hidden="1" x14ac:dyDescent="0.2">
      <c r="B124" s="112">
        <f t="shared" si="26"/>
        <v>1.9E-2</v>
      </c>
      <c r="C124" s="112"/>
      <c r="D124" s="112">
        <f t="shared" ref="D124" si="53">D22</f>
        <v>1.9E-2</v>
      </c>
      <c r="F124" s="112"/>
      <c r="G124" s="112">
        <f>SUM(G115:G123)</f>
        <v>0.1</v>
      </c>
      <c r="H124" s="112"/>
      <c r="I124" s="112"/>
      <c r="J124" s="112"/>
      <c r="K124" s="112"/>
      <c r="L124" s="112">
        <f t="shared" si="31"/>
        <v>11</v>
      </c>
      <c r="M124" s="112">
        <f t="shared" si="32"/>
        <v>1.9E-2</v>
      </c>
      <c r="N124" s="112">
        <f t="shared" si="33"/>
        <v>6.3829941271006376</v>
      </c>
      <c r="O124" s="112" t="str">
        <f t="shared" si="34"/>
        <v/>
      </c>
      <c r="P124" s="112">
        <v>11</v>
      </c>
      <c r="Q124" s="112">
        <f t="shared" si="35"/>
        <v>3.4000000000000002E-2</v>
      </c>
      <c r="R124" s="112"/>
      <c r="S124" s="112"/>
      <c r="T124" s="112"/>
      <c r="U124" s="112">
        <f t="shared" si="27"/>
        <v>6.3829941271006376</v>
      </c>
      <c r="V124" s="209">
        <f t="shared" si="28"/>
        <v>0.91666666666666663</v>
      </c>
      <c r="W124" s="209"/>
      <c r="X124" s="209"/>
      <c r="Y124" s="112"/>
      <c r="AA124" s="112"/>
      <c r="AB124" s="112">
        <f t="shared" si="36"/>
        <v>7</v>
      </c>
      <c r="AD124" s="112" t="s">
        <v>45</v>
      </c>
      <c r="AE124" s="112">
        <f>AB15</f>
        <v>-4.5432771655548532</v>
      </c>
      <c r="AH124" s="112" t="s">
        <v>46</v>
      </c>
      <c r="AI124" s="322">
        <f>NORMSINV(LOGNORMDIST($D$6,$AE$124,$AE$125))</f>
        <v>1.6334304355139941</v>
      </c>
      <c r="AJ124" s="112">
        <f>LOGNORMDIST($D$6,$AE$124,$AE$125)</f>
        <v>0.94881074987179315</v>
      </c>
      <c r="AL124" s="112" t="s">
        <v>47</v>
      </c>
      <c r="AM124" s="112">
        <f>AB15</f>
        <v>-4.5432771655548532</v>
      </c>
      <c r="AN124" s="112" t="s">
        <v>13</v>
      </c>
      <c r="AO124" s="188">
        <f>AVERAGE(D12:D61)</f>
        <v>1.253231225482293E-2</v>
      </c>
      <c r="AP124" s="112"/>
      <c r="AQ124" s="112"/>
      <c r="AR124" s="112"/>
      <c r="AS124" s="112"/>
      <c r="AT124" s="112"/>
      <c r="AU124" s="112"/>
    </row>
    <row r="125" spans="2:47" hidden="1" x14ac:dyDescent="0.2">
      <c r="B125" s="112" t="str">
        <f t="shared" si="26"/>
        <v/>
      </c>
      <c r="C125" s="112"/>
      <c r="D125" s="112" t="str">
        <f t="shared" ref="D125" si="54">D23</f>
        <v/>
      </c>
      <c r="F125" s="112"/>
      <c r="G125" s="112"/>
      <c r="H125" s="112"/>
      <c r="I125" s="112"/>
      <c r="J125" s="112"/>
      <c r="K125" s="112"/>
      <c r="L125" s="112" t="b">
        <f t="shared" si="31"/>
        <v>0</v>
      </c>
      <c r="M125" s="112" t="e">
        <f t="shared" si="32"/>
        <v>#N/A</v>
      </c>
      <c r="N125" s="112" t="e">
        <f t="shared" si="33"/>
        <v>#N/A</v>
      </c>
      <c r="O125" s="112" t="str">
        <f t="shared" si="34"/>
        <v/>
      </c>
      <c r="P125" s="112">
        <v>12</v>
      </c>
      <c r="Q125" s="112" t="e">
        <f t="shared" si="35"/>
        <v>#N/A</v>
      </c>
      <c r="R125" s="112"/>
      <c r="S125" s="112"/>
      <c r="T125" s="112"/>
      <c r="U125" s="112" t="e">
        <f t="shared" si="27"/>
        <v>#N/A</v>
      </c>
      <c r="V125" s="209" t="e">
        <f t="shared" si="28"/>
        <v>#N/A</v>
      </c>
      <c r="W125" s="209"/>
      <c r="X125" s="209"/>
      <c r="Y125" s="112"/>
      <c r="AA125" s="112"/>
      <c r="AB125" s="112">
        <f t="shared" si="36"/>
        <v>9</v>
      </c>
      <c r="AD125" s="112" t="s">
        <v>48</v>
      </c>
      <c r="AE125" s="112">
        <f>AB16</f>
        <v>1.0590389472267157</v>
      </c>
      <c r="AH125" s="112" t="s">
        <v>49</v>
      </c>
      <c r="AI125" s="322">
        <f>(1/((2*$AE$126)-3))-(1/($AI$123^2))</f>
        <v>-0.31697993052082701</v>
      </c>
      <c r="AL125" s="112" t="s">
        <v>50</v>
      </c>
      <c r="AM125" s="112">
        <f>AB16</f>
        <v>1.0590389472267157</v>
      </c>
      <c r="AN125" s="112" t="s">
        <v>51</v>
      </c>
      <c r="AO125" s="112">
        <f>STDEV(D12:D61)</f>
        <v>1.1218037560309866E-2</v>
      </c>
      <c r="AP125" s="112"/>
      <c r="AQ125" s="112"/>
      <c r="AR125" s="112"/>
      <c r="AS125" s="112"/>
      <c r="AT125" s="112"/>
      <c r="AU125" s="112"/>
    </row>
    <row r="126" spans="2:47" hidden="1" x14ac:dyDescent="0.2">
      <c r="B126" s="112" t="str">
        <f t="shared" si="26"/>
        <v/>
      </c>
      <c r="C126" s="112"/>
      <c r="D126" s="112" t="str">
        <f t="shared" ref="D126" si="55">D24</f>
        <v/>
      </c>
      <c r="F126" s="112"/>
      <c r="G126" s="112"/>
      <c r="H126" s="112"/>
      <c r="I126" s="112"/>
      <c r="J126" s="112"/>
      <c r="K126" s="112"/>
      <c r="L126" s="112" t="b">
        <f t="shared" si="31"/>
        <v>0</v>
      </c>
      <c r="M126" s="112" t="e">
        <f t="shared" si="32"/>
        <v>#N/A</v>
      </c>
      <c r="N126" s="112" t="e">
        <f t="shared" si="33"/>
        <v>#N/A</v>
      </c>
      <c r="O126" s="112" t="str">
        <f t="shared" si="34"/>
        <v/>
      </c>
      <c r="P126" s="112">
        <v>13</v>
      </c>
      <c r="Q126" s="112" t="e">
        <f t="shared" si="35"/>
        <v>#N/A</v>
      </c>
      <c r="R126" s="112"/>
      <c r="S126" s="112"/>
      <c r="T126" s="112"/>
      <c r="U126" s="112" t="e">
        <f t="shared" si="27"/>
        <v>#N/A</v>
      </c>
      <c r="V126" s="209" t="e">
        <f t="shared" si="28"/>
        <v>#N/A</v>
      </c>
      <c r="W126" s="209"/>
      <c r="X126" s="209"/>
      <c r="Y126" s="112"/>
      <c r="AA126" s="112"/>
      <c r="AB126" s="112" t="e">
        <f t="shared" si="36"/>
        <v>#VALUE!</v>
      </c>
      <c r="AD126" s="112" t="s">
        <v>44</v>
      </c>
      <c r="AE126" s="112">
        <f>AB6</f>
        <v>11</v>
      </c>
      <c r="AH126" s="112" t="s">
        <v>52</v>
      </c>
      <c r="AI126" s="322">
        <f>((2*$AI$124)/($AI$123^2))*SQRT(((2*$AE$126)-3)/((2*$AE$126)-2))</f>
        <v>1.1768955702712729</v>
      </c>
      <c r="AL126" s="112" t="s">
        <v>198</v>
      </c>
      <c r="AM126" s="112">
        <f>VLOOKUP(AM123,AL136:AM183,2)</f>
        <v>1.9810000000000001</v>
      </c>
      <c r="AN126" s="112" t="s">
        <v>198</v>
      </c>
      <c r="AO126" s="112">
        <f>AM126</f>
        <v>1.9810000000000001</v>
      </c>
      <c r="AP126" s="112"/>
      <c r="AQ126" s="112"/>
      <c r="AR126" s="112"/>
      <c r="AS126" s="112"/>
      <c r="AT126" s="112"/>
      <c r="AU126" s="112"/>
    </row>
    <row r="127" spans="2:47" hidden="1" x14ac:dyDescent="0.2">
      <c r="B127" s="112" t="str">
        <f t="shared" si="26"/>
        <v/>
      </c>
      <c r="C127" s="112"/>
      <c r="D127" s="112" t="str">
        <f t="shared" ref="D127" si="56">D25</f>
        <v/>
      </c>
      <c r="F127" s="112"/>
      <c r="G127" s="112"/>
      <c r="H127" s="112"/>
      <c r="I127" s="112"/>
      <c r="J127" s="112"/>
      <c r="K127" s="112"/>
      <c r="L127" s="112" t="b">
        <f t="shared" si="31"/>
        <v>0</v>
      </c>
      <c r="M127" s="112" t="e">
        <f t="shared" si="32"/>
        <v>#N/A</v>
      </c>
      <c r="N127" s="112" t="e">
        <f t="shared" si="33"/>
        <v>#N/A</v>
      </c>
      <c r="O127" s="112" t="str">
        <f t="shared" si="34"/>
        <v/>
      </c>
      <c r="P127" s="112">
        <v>14</v>
      </c>
      <c r="Q127" s="112" t="e">
        <f t="shared" si="35"/>
        <v>#N/A</v>
      </c>
      <c r="R127" s="112"/>
      <c r="S127" s="112"/>
      <c r="T127" s="112"/>
      <c r="U127" s="112" t="e">
        <f t="shared" si="27"/>
        <v>#N/A</v>
      </c>
      <c r="V127" s="209" t="e">
        <f t="shared" si="28"/>
        <v>#N/A</v>
      </c>
      <c r="W127" s="209"/>
      <c r="X127" s="209"/>
      <c r="Y127" s="112"/>
      <c r="AA127" s="112"/>
      <c r="AB127" s="112" t="e">
        <f t="shared" si="36"/>
        <v>#VALUE!</v>
      </c>
      <c r="AD127" s="112" t="s">
        <v>53</v>
      </c>
      <c r="AE127" s="112">
        <f>((AE125)^2)/2</f>
        <v>0.56078174587153506</v>
      </c>
      <c r="AH127" s="112" t="s">
        <v>54</v>
      </c>
      <c r="AI127" s="322">
        <f>(1/$AE$126)-((($AI$124^2)/($AI$123^2))*(((2*$AE$126)-3)/((2*$AE$126)-2)))</f>
        <v>-0.84594159409597769</v>
      </c>
      <c r="AL127" s="112" t="s">
        <v>55</v>
      </c>
      <c r="AM127" s="112">
        <f>EXP(AM124+(AM126*AM125))</f>
        <v>8.6698299317882491E-2</v>
      </c>
      <c r="AN127" s="112" t="s">
        <v>55</v>
      </c>
      <c r="AO127" s="112">
        <f>AO124+(AO126*AO125)</f>
        <v>3.4755244661796775E-2</v>
      </c>
      <c r="AP127" s="112"/>
      <c r="AQ127" s="112"/>
      <c r="AR127" s="112"/>
      <c r="AS127" s="112"/>
      <c r="AT127" s="112"/>
      <c r="AU127" s="112"/>
    </row>
    <row r="128" spans="2:47" hidden="1" x14ac:dyDescent="0.2">
      <c r="B128" s="112" t="str">
        <f t="shared" si="26"/>
        <v/>
      </c>
      <c r="C128" s="112"/>
      <c r="D128" s="112" t="str">
        <f t="shared" ref="D128" si="57">D26</f>
        <v/>
      </c>
      <c r="F128" s="112"/>
      <c r="G128" s="112"/>
      <c r="H128" s="112"/>
      <c r="I128" s="112"/>
      <c r="J128" s="112"/>
      <c r="K128" s="112"/>
      <c r="L128" s="112" t="b">
        <f t="shared" si="31"/>
        <v>0</v>
      </c>
      <c r="M128" s="112" t="e">
        <f t="shared" si="32"/>
        <v>#N/A</v>
      </c>
      <c r="N128" s="112" t="e">
        <f t="shared" si="33"/>
        <v>#N/A</v>
      </c>
      <c r="O128" s="112" t="str">
        <f t="shared" si="34"/>
        <v/>
      </c>
      <c r="P128" s="112">
        <v>15</v>
      </c>
      <c r="Q128" s="112" t="e">
        <f t="shared" si="35"/>
        <v>#N/A</v>
      </c>
      <c r="R128" s="112"/>
      <c r="S128" s="112"/>
      <c r="T128" s="112"/>
      <c r="U128" s="112" t="e">
        <f t="shared" si="27"/>
        <v>#N/A</v>
      </c>
      <c r="V128" s="209" t="e">
        <f t="shared" si="28"/>
        <v>#N/A</v>
      </c>
      <c r="W128" s="209"/>
      <c r="X128" s="209"/>
      <c r="Y128" s="112"/>
      <c r="AA128" s="112"/>
      <c r="AB128" s="112" t="e">
        <f t="shared" si="36"/>
        <v>#VALUE!</v>
      </c>
      <c r="AE128" s="112">
        <v>1</v>
      </c>
      <c r="AF128" s="112">
        <v>1</v>
      </c>
      <c r="AP128" s="112"/>
      <c r="AQ128" s="112"/>
      <c r="AR128" s="112"/>
      <c r="AS128" s="112"/>
      <c r="AT128" s="112"/>
      <c r="AU128" s="112"/>
    </row>
    <row r="129" spans="2:47" hidden="1" x14ac:dyDescent="0.2">
      <c r="B129" s="112" t="str">
        <f t="shared" si="26"/>
        <v/>
      </c>
      <c r="C129" s="112"/>
      <c r="D129" s="112" t="str">
        <f t="shared" ref="D129" si="58">D27</f>
        <v/>
      </c>
      <c r="F129" s="112"/>
      <c r="G129" s="112"/>
      <c r="H129" s="112"/>
      <c r="I129" s="112"/>
      <c r="J129" s="112"/>
      <c r="K129" s="112"/>
      <c r="L129" s="112" t="b">
        <f t="shared" si="31"/>
        <v>0</v>
      </c>
      <c r="M129" s="112" t="e">
        <f t="shared" si="32"/>
        <v>#N/A</v>
      </c>
      <c r="N129" s="112" t="e">
        <f t="shared" si="33"/>
        <v>#N/A</v>
      </c>
      <c r="O129" s="112" t="str">
        <f t="shared" si="34"/>
        <v/>
      </c>
      <c r="P129" s="112">
        <v>16</v>
      </c>
      <c r="Q129" s="112" t="e">
        <f t="shared" si="35"/>
        <v>#N/A</v>
      </c>
      <c r="R129" s="112"/>
      <c r="S129" s="112"/>
      <c r="T129" s="112"/>
      <c r="U129" s="112" t="e">
        <f t="shared" si="27"/>
        <v>#N/A</v>
      </c>
      <c r="V129" s="209" t="e">
        <f t="shared" si="28"/>
        <v>#N/A</v>
      </c>
      <c r="W129" s="209"/>
      <c r="X129" s="209"/>
      <c r="Y129" s="112"/>
      <c r="AA129" s="112"/>
      <c r="AB129" s="112" t="e">
        <f t="shared" si="36"/>
        <v>#VALUE!</v>
      </c>
      <c r="AD129" s="112" t="s">
        <v>56</v>
      </c>
      <c r="AE129" s="112">
        <f>($AE$126-1)*((($AE$125)^2)/2)/$AE$126</f>
        <v>0.50980158715594104</v>
      </c>
      <c r="AF129" s="112">
        <f>($AE$126-1)*$AE$127/$AE$126</f>
        <v>0.50980158715594104</v>
      </c>
      <c r="AH129" s="112" t="s">
        <v>57</v>
      </c>
      <c r="AI129" s="322">
        <f>$AI$126^2</f>
        <v>1.3850831833241446</v>
      </c>
      <c r="AP129" s="112"/>
      <c r="AQ129" s="112"/>
      <c r="AR129" s="112"/>
      <c r="AS129" s="112"/>
      <c r="AT129" s="112"/>
      <c r="AU129" s="112"/>
    </row>
    <row r="130" spans="2:47" hidden="1" x14ac:dyDescent="0.2">
      <c r="B130" s="112" t="str">
        <f t="shared" si="26"/>
        <v/>
      </c>
      <c r="C130" s="112"/>
      <c r="D130" s="112" t="str">
        <f t="shared" ref="D130" si="59">D28</f>
        <v/>
      </c>
      <c r="F130" s="112"/>
      <c r="G130" s="112"/>
      <c r="H130" s="112"/>
      <c r="I130" s="112"/>
      <c r="J130" s="112"/>
      <c r="K130" s="112"/>
      <c r="L130" s="112" t="b">
        <f t="shared" si="31"/>
        <v>0</v>
      </c>
      <c r="M130" s="112" t="e">
        <f t="shared" si="32"/>
        <v>#N/A</v>
      </c>
      <c r="N130" s="112" t="e">
        <f t="shared" si="33"/>
        <v>#N/A</v>
      </c>
      <c r="O130" s="112" t="str">
        <f t="shared" si="34"/>
        <v/>
      </c>
      <c r="P130" s="112">
        <v>17</v>
      </c>
      <c r="Q130" s="112" t="e">
        <f t="shared" si="35"/>
        <v>#N/A</v>
      </c>
      <c r="R130" s="112"/>
      <c r="S130" s="112"/>
      <c r="T130" s="112"/>
      <c r="U130" s="112" t="e">
        <f t="shared" si="27"/>
        <v>#N/A</v>
      </c>
      <c r="V130" s="209" t="e">
        <f t="shared" si="28"/>
        <v>#N/A</v>
      </c>
      <c r="W130" s="209"/>
      <c r="X130" s="209"/>
      <c r="Y130" s="112"/>
      <c r="AA130" s="112"/>
      <c r="AB130" s="112" t="e">
        <f t="shared" si="36"/>
        <v>#VALUE!</v>
      </c>
      <c r="AD130" s="112" t="s">
        <v>58</v>
      </c>
      <c r="AE130" s="112">
        <f>(($AE$126-1)^3)*(((($AE$125)^2)/2)^2)/(FACT(2)*(($AE$126)^2)*($AE$126+1))</f>
        <v>0.1082906909444652</v>
      </c>
      <c r="AF130" s="112">
        <f>(($AE$126-1)^3)*(($AE$127)^2)/((FACT(2))*(($AE$126)^2)*($AE$126+1))</f>
        <v>0.1082906909444652</v>
      </c>
      <c r="AH130" s="112" t="s">
        <v>59</v>
      </c>
      <c r="AI130" s="322">
        <f>4*$AI$125*$AI$127</f>
        <v>1.0725860308848827</v>
      </c>
      <c r="AJ130" s="112">
        <f>AJ131+AI130</f>
        <v>1.3850831833241446</v>
      </c>
      <c r="AP130" s="112"/>
      <c r="AQ130" s="112"/>
      <c r="AR130" s="112"/>
      <c r="AS130" s="112"/>
      <c r="AT130" s="112"/>
      <c r="AU130" s="112"/>
    </row>
    <row r="131" spans="2:47" hidden="1" x14ac:dyDescent="0.2">
      <c r="B131" s="112" t="str">
        <f t="shared" si="26"/>
        <v/>
      </c>
      <c r="C131" s="112"/>
      <c r="D131" s="112" t="str">
        <f t="shared" ref="D131" si="60">D29</f>
        <v/>
      </c>
      <c r="F131" s="112"/>
      <c r="G131" s="112"/>
      <c r="H131" s="112"/>
      <c r="I131" s="112"/>
      <c r="J131" s="112"/>
      <c r="K131" s="112"/>
      <c r="L131" s="112" t="b">
        <f t="shared" ref="L131:L146" si="61">IF(ISNUMBER(M131),P131)</f>
        <v>0</v>
      </c>
      <c r="M131" s="112" t="e">
        <f t="shared" si="32"/>
        <v>#N/A</v>
      </c>
      <c r="N131" s="112" t="e">
        <f t="shared" si="33"/>
        <v>#N/A</v>
      </c>
      <c r="O131" s="112" t="str">
        <f t="shared" si="34"/>
        <v/>
      </c>
      <c r="P131" s="112">
        <v>18</v>
      </c>
      <c r="Q131" s="112" t="e">
        <f t="shared" si="35"/>
        <v>#N/A</v>
      </c>
      <c r="R131" s="112"/>
      <c r="S131" s="112"/>
      <c r="T131" s="112"/>
      <c r="U131" s="112" t="e">
        <f t="shared" si="27"/>
        <v>#N/A</v>
      </c>
      <c r="V131" s="209" t="e">
        <f t="shared" si="28"/>
        <v>#N/A</v>
      </c>
      <c r="W131" s="209"/>
      <c r="X131" s="209"/>
      <c r="Y131" s="112"/>
      <c r="AA131" s="112"/>
      <c r="AB131" s="112" t="e">
        <f t="shared" si="36"/>
        <v>#VALUE!</v>
      </c>
      <c r="AD131" s="112" t="s">
        <v>60</v>
      </c>
      <c r="AE131" s="112">
        <f>(($AE$126-1)^5)*(((($AE$125)^2)/2)^3)/(FACT(3)*(($AE$126)^3)*($AE$126+1)*($AE$126+3))</f>
        <v>1.3144468123262344E-2</v>
      </c>
      <c r="AF131" s="112">
        <f>(($AE$126-1)^5)*(($AE$127)^3)/((FACT(3))*(($AE$126)^3)*($AE$126+1)*($AE$126+3))</f>
        <v>1.3144468123262344E-2</v>
      </c>
      <c r="AH131" s="112" t="s">
        <v>61</v>
      </c>
      <c r="AI131" s="322">
        <f>SQRT($AI$129-$AI$130)</f>
        <v>0.55901444743339312</v>
      </c>
      <c r="AJ131" s="112">
        <f>AI131^2</f>
        <v>0.31249715243926185</v>
      </c>
      <c r="AP131" s="112"/>
      <c r="AQ131" s="112"/>
      <c r="AR131" s="112"/>
      <c r="AS131" s="112"/>
      <c r="AT131" s="112"/>
      <c r="AU131" s="112"/>
    </row>
    <row r="132" spans="2:47" hidden="1" x14ac:dyDescent="0.2">
      <c r="B132" s="112" t="str">
        <f t="shared" si="26"/>
        <v/>
      </c>
      <c r="C132" s="112"/>
      <c r="D132" s="112" t="str">
        <f t="shared" ref="D132" si="62">D30</f>
        <v/>
      </c>
      <c r="F132" s="112"/>
      <c r="G132" s="112"/>
      <c r="H132" s="112"/>
      <c r="I132" s="112"/>
      <c r="J132" s="112"/>
      <c r="K132" s="112"/>
      <c r="L132" s="112" t="b">
        <f t="shared" si="61"/>
        <v>0</v>
      </c>
      <c r="M132" s="112" t="e">
        <f t="shared" si="32"/>
        <v>#N/A</v>
      </c>
      <c r="N132" s="112" t="e">
        <f t="shared" si="33"/>
        <v>#N/A</v>
      </c>
      <c r="O132" s="112" t="str">
        <f t="shared" si="34"/>
        <v/>
      </c>
      <c r="P132" s="112">
        <v>19</v>
      </c>
      <c r="Q132" s="112" t="e">
        <f t="shared" si="35"/>
        <v>#N/A</v>
      </c>
      <c r="R132" s="112"/>
      <c r="S132" s="112"/>
      <c r="T132" s="112"/>
      <c r="U132" s="112" t="e">
        <f t="shared" si="27"/>
        <v>#N/A</v>
      </c>
      <c r="V132" s="209" t="e">
        <f t="shared" si="28"/>
        <v>#N/A</v>
      </c>
      <c r="W132" s="209"/>
      <c r="X132" s="209"/>
      <c r="Y132" s="112"/>
      <c r="AA132" s="112"/>
      <c r="AB132" s="112" t="e">
        <f t="shared" si="36"/>
        <v>#VALUE!</v>
      </c>
      <c r="AD132" s="112" t="s">
        <v>62</v>
      </c>
      <c r="AE132" s="112">
        <f>(($AE$126-1)^7)*(((($AE$125)^2)/2)^4)/(FACT(4)*(($AE$126)^4)*($AE$126+1)*($AE$126+3)*($AE$126+5))</f>
        <v>1.047042298681221E-3</v>
      </c>
      <c r="AF132" s="112">
        <f>(($AE$126-1)^7)*(($AE$127)^4)/((FACT(4))*(($AE$126)^4)*($AE$126+1)*($AE$126+3)*($AE$126+5))</f>
        <v>1.047042298681221E-3</v>
      </c>
      <c r="AH132" s="112" t="s">
        <v>63</v>
      </c>
      <c r="AI132" s="322">
        <f>2*$AI$125</f>
        <v>-0.63395986104165403</v>
      </c>
      <c r="AP132" s="112"/>
      <c r="AQ132" s="112"/>
      <c r="AR132" s="112"/>
      <c r="AS132" s="112"/>
      <c r="AT132" s="112"/>
      <c r="AU132" s="112"/>
    </row>
    <row r="133" spans="2:47" hidden="1" x14ac:dyDescent="0.2">
      <c r="B133" s="112" t="str">
        <f t="shared" si="26"/>
        <v/>
      </c>
      <c r="C133" s="112"/>
      <c r="D133" s="112" t="str">
        <f t="shared" ref="D133" si="63">D31</f>
        <v/>
      </c>
      <c r="F133" s="112"/>
      <c r="G133" s="112"/>
      <c r="H133" s="112"/>
      <c r="I133" s="112"/>
      <c r="J133" s="112"/>
      <c r="K133" s="112"/>
      <c r="L133" s="112" t="b">
        <f t="shared" si="61"/>
        <v>0</v>
      </c>
      <c r="M133" s="112" t="e">
        <f t="shared" si="32"/>
        <v>#N/A</v>
      </c>
      <c r="N133" s="112" t="e">
        <f t="shared" si="33"/>
        <v>#N/A</v>
      </c>
      <c r="O133" s="112" t="str">
        <f t="shared" si="34"/>
        <v/>
      </c>
      <c r="P133" s="112">
        <v>20</v>
      </c>
      <c r="Q133" s="112" t="e">
        <f t="shared" si="35"/>
        <v>#N/A</v>
      </c>
      <c r="R133" s="112"/>
      <c r="S133" s="112"/>
      <c r="T133" s="112"/>
      <c r="U133" s="112" t="e">
        <f t="shared" si="27"/>
        <v>#N/A</v>
      </c>
      <c r="V133" s="209" t="e">
        <f t="shared" si="28"/>
        <v>#N/A</v>
      </c>
      <c r="W133" s="209"/>
      <c r="X133" s="209"/>
      <c r="Y133" s="112"/>
      <c r="AA133" s="112"/>
      <c r="AB133" s="112" t="e">
        <f t="shared" si="36"/>
        <v>#VALUE!</v>
      </c>
      <c r="AD133" s="112" t="s">
        <v>64</v>
      </c>
      <c r="AE133" s="112">
        <f>(($AE$126-1)^9)*(((($AE$125)^2)/2)^5)/(FACT(5)*(($AE$126)^5)*($AE$126+1)*($AE$126+3)*($AE$126+5)*($AE$126+7))</f>
        <v>5.9309313965232364E-5</v>
      </c>
      <c r="AF133" s="112">
        <f>(($AE$126-1)^9)*(($AE$127)^5)/((FACT(5))*(($AE$126)^5)*($AE$126+1)*($AE$126+3)*($AE$126+5)*($AE$126+7))</f>
        <v>5.9309313965232364E-5</v>
      </c>
      <c r="AH133" s="112" t="s">
        <v>65</v>
      </c>
      <c r="AI133" s="322">
        <f>(-$AI$126-$AI$131)/$AI$132</f>
        <v>2.7382017764538076</v>
      </c>
      <c r="AJ133" s="112">
        <f>(-$AI$126+$AI$131)/$AI$132</f>
        <v>0.97463760847988801</v>
      </c>
      <c r="AP133" s="112"/>
      <c r="AQ133" s="112"/>
      <c r="AR133" s="112"/>
      <c r="AS133" s="112"/>
      <c r="AT133" s="112"/>
      <c r="AU133" s="112"/>
    </row>
    <row r="134" spans="2:47" hidden="1" x14ac:dyDescent="0.2">
      <c r="B134" s="112" t="str">
        <f t="shared" si="26"/>
        <v/>
      </c>
      <c r="C134" s="112"/>
      <c r="D134" s="112" t="str">
        <f t="shared" ref="D134" si="64">D32</f>
        <v/>
      </c>
      <c r="F134" s="112"/>
      <c r="G134" s="112"/>
      <c r="H134" s="112"/>
      <c r="I134" s="112"/>
      <c r="J134" s="112"/>
      <c r="K134" s="112"/>
      <c r="L134" s="112" t="b">
        <f t="shared" si="61"/>
        <v>0</v>
      </c>
      <c r="M134" s="112" t="e">
        <f t="shared" si="32"/>
        <v>#N/A</v>
      </c>
      <c r="N134" s="112" t="e">
        <f t="shared" si="33"/>
        <v>#N/A</v>
      </c>
      <c r="O134" s="112" t="str">
        <f t="shared" si="34"/>
        <v/>
      </c>
      <c r="P134" s="112">
        <v>21</v>
      </c>
      <c r="Q134" s="112" t="e">
        <f t="shared" si="35"/>
        <v>#N/A</v>
      </c>
      <c r="R134" s="112"/>
      <c r="S134" s="112"/>
      <c r="T134" s="112"/>
      <c r="U134" s="112" t="e">
        <f t="shared" si="27"/>
        <v>#N/A</v>
      </c>
      <c r="V134" s="209" t="e">
        <f t="shared" si="28"/>
        <v>#N/A</v>
      </c>
      <c r="W134" s="209"/>
      <c r="X134" s="209"/>
      <c r="Y134" s="112"/>
      <c r="AA134" s="112"/>
      <c r="AB134" s="112" t="e">
        <f t="shared" si="36"/>
        <v>#VALUE!</v>
      </c>
      <c r="AD134" s="112" t="s">
        <v>66</v>
      </c>
      <c r="AF134" s="112">
        <f>(($AE$126-1)^11)*(($AE$127)^6)/((FACT(6))*(($AE$126)^6)*($AE$126+1)*($AE$126+3)*($AE$126+5)*($AE$126+7)*($AE$126+9))</f>
        <v>2.5196651993837892E-6</v>
      </c>
      <c r="AH134" s="112" t="s">
        <v>67</v>
      </c>
      <c r="AI134" s="322">
        <f>100*(1-NORMSDIST($AI$133))</f>
        <v>0.30888080288459241</v>
      </c>
      <c r="AJ134" s="112">
        <f>100*(1-NORMSDIST($AJ$133))</f>
        <v>16.487002574154808</v>
      </c>
      <c r="AL134" s="112" t="s">
        <v>197</v>
      </c>
      <c r="AP134" s="112"/>
      <c r="AQ134" s="112"/>
      <c r="AR134" s="112"/>
      <c r="AS134" s="112"/>
      <c r="AT134" s="112"/>
      <c r="AU134" s="112"/>
    </row>
    <row r="135" spans="2:47" hidden="1" x14ac:dyDescent="0.2">
      <c r="B135" s="112" t="str">
        <f t="shared" si="26"/>
        <v/>
      </c>
      <c r="C135" s="112"/>
      <c r="D135" s="112" t="str">
        <f t="shared" ref="D135" si="65">D33</f>
        <v/>
      </c>
      <c r="F135" s="112"/>
      <c r="G135" s="112"/>
      <c r="H135" s="112"/>
      <c r="I135" s="112"/>
      <c r="J135" s="112"/>
      <c r="K135" s="112"/>
      <c r="L135" s="112" t="b">
        <f t="shared" si="61"/>
        <v>0</v>
      </c>
      <c r="M135" s="112" t="e">
        <f t="shared" si="32"/>
        <v>#N/A</v>
      </c>
      <c r="N135" s="112" t="e">
        <f t="shared" si="33"/>
        <v>#N/A</v>
      </c>
      <c r="O135" s="112" t="str">
        <f t="shared" si="34"/>
        <v/>
      </c>
      <c r="P135" s="112">
        <v>22</v>
      </c>
      <c r="Q135" s="112" t="e">
        <f t="shared" si="35"/>
        <v>#N/A</v>
      </c>
      <c r="R135" s="112"/>
      <c r="S135" s="112"/>
      <c r="T135" s="112"/>
      <c r="U135" s="112" t="e">
        <f t="shared" si="27"/>
        <v>#N/A</v>
      </c>
      <c r="V135" s="209" t="e">
        <f t="shared" si="28"/>
        <v>#N/A</v>
      </c>
      <c r="W135" s="209"/>
      <c r="X135" s="209"/>
      <c r="Y135" s="112"/>
      <c r="AA135" s="112"/>
      <c r="AB135" s="112" t="e">
        <f t="shared" si="36"/>
        <v>#VALUE!</v>
      </c>
      <c r="AD135" s="112" t="s">
        <v>68</v>
      </c>
      <c r="AE135" s="112">
        <f>SUM(AE128:AE133)</f>
        <v>1.6323430978363151</v>
      </c>
      <c r="AF135" s="112">
        <f>SUM(AF128:AF134)</f>
        <v>1.6323456175015145</v>
      </c>
      <c r="AL135" s="112" t="s">
        <v>44</v>
      </c>
      <c r="AM135" s="112" t="s">
        <v>219</v>
      </c>
      <c r="AP135" s="112"/>
      <c r="AQ135" s="112"/>
      <c r="AR135" s="112"/>
      <c r="AS135" s="112"/>
      <c r="AT135" s="112"/>
      <c r="AU135" s="112"/>
    </row>
    <row r="136" spans="2:47" hidden="1" x14ac:dyDescent="0.2">
      <c r="B136" s="112" t="str">
        <f t="shared" si="26"/>
        <v/>
      </c>
      <c r="C136" s="112"/>
      <c r="D136" s="112" t="str">
        <f t="shared" ref="D136" si="66">D34</f>
        <v/>
      </c>
      <c r="F136" s="112"/>
      <c r="G136" s="112"/>
      <c r="H136" s="112"/>
      <c r="I136" s="112"/>
      <c r="J136" s="112"/>
      <c r="K136" s="112"/>
      <c r="L136" s="112" t="b">
        <f t="shared" si="61"/>
        <v>0</v>
      </c>
      <c r="M136" s="112" t="e">
        <f t="shared" si="32"/>
        <v>#N/A</v>
      </c>
      <c r="N136" s="112" t="e">
        <f t="shared" si="33"/>
        <v>#N/A</v>
      </c>
      <c r="O136" s="112" t="str">
        <f t="shared" si="34"/>
        <v/>
      </c>
      <c r="P136" s="112">
        <v>23</v>
      </c>
      <c r="Q136" s="112" t="e">
        <f t="shared" si="35"/>
        <v>#N/A</v>
      </c>
      <c r="R136" s="112"/>
      <c r="S136" s="112"/>
      <c r="T136" s="112"/>
      <c r="U136" s="112" t="e">
        <f t="shared" si="27"/>
        <v>#N/A</v>
      </c>
      <c r="V136" s="209" t="e">
        <f t="shared" si="28"/>
        <v>#N/A</v>
      </c>
      <c r="W136" s="209"/>
      <c r="X136" s="209"/>
      <c r="Y136" s="112"/>
      <c r="AA136" s="112"/>
      <c r="AB136" s="112" t="e">
        <f t="shared" si="36"/>
        <v>#VALUE!</v>
      </c>
      <c r="AD136" s="112" t="s">
        <v>69</v>
      </c>
      <c r="AE136" s="112">
        <f>EXP(AE124)*AE135</f>
        <v>1.7365658027797843E-2</v>
      </c>
      <c r="AF136" s="112">
        <f>EXP(AE124)*AF135</f>
        <v>1.7365684833218993E-2</v>
      </c>
      <c r="AL136" s="112">
        <v>3</v>
      </c>
      <c r="AM136" s="112">
        <v>2.8091200000000001</v>
      </c>
      <c r="AP136" s="112"/>
      <c r="AQ136" s="112"/>
      <c r="AR136" s="112"/>
      <c r="AS136" s="112"/>
      <c r="AT136" s="112"/>
      <c r="AU136" s="112"/>
    </row>
    <row r="137" spans="2:47" hidden="1" x14ac:dyDescent="0.2">
      <c r="B137" s="112" t="str">
        <f t="shared" si="26"/>
        <v/>
      </c>
      <c r="C137" s="112"/>
      <c r="D137" s="112" t="str">
        <f t="shared" ref="D137" si="67">D35</f>
        <v/>
      </c>
      <c r="F137" s="112"/>
      <c r="G137" s="112"/>
      <c r="H137" s="112"/>
      <c r="I137" s="112"/>
      <c r="J137" s="112"/>
      <c r="K137" s="112"/>
      <c r="L137" s="112" t="b">
        <f t="shared" si="61"/>
        <v>0</v>
      </c>
      <c r="M137" s="112" t="e">
        <f t="shared" si="32"/>
        <v>#N/A</v>
      </c>
      <c r="N137" s="112" t="e">
        <f t="shared" si="33"/>
        <v>#N/A</v>
      </c>
      <c r="O137" s="112" t="str">
        <f t="shared" si="34"/>
        <v/>
      </c>
      <c r="P137" s="112">
        <v>24</v>
      </c>
      <c r="Q137" s="112" t="e">
        <f t="shared" si="35"/>
        <v>#N/A</v>
      </c>
      <c r="R137" s="112"/>
      <c r="S137" s="112"/>
      <c r="T137" s="112"/>
      <c r="U137" s="112" t="e">
        <f t="shared" si="27"/>
        <v>#N/A</v>
      </c>
      <c r="V137" s="209" t="e">
        <f t="shared" si="28"/>
        <v>#N/A</v>
      </c>
      <c r="W137" s="209"/>
      <c r="X137" s="209"/>
      <c r="Y137" s="112"/>
      <c r="AA137" s="112"/>
      <c r="AB137" s="112" t="e">
        <f t="shared" si="36"/>
        <v>#VALUE!</v>
      </c>
      <c r="AD137" s="112" t="s">
        <v>428</v>
      </c>
      <c r="AE137" s="112">
        <f>MAX(AE136:AF136)</f>
        <v>1.7365684833218993E-2</v>
      </c>
      <c r="AL137" s="112">
        <v>4</v>
      </c>
      <c r="AM137" s="112">
        <v>2.4530799999999999</v>
      </c>
      <c r="AP137" s="112"/>
      <c r="AQ137" s="112"/>
      <c r="AR137" s="112"/>
      <c r="AS137" s="112"/>
      <c r="AT137" s="112"/>
      <c r="AU137" s="112"/>
    </row>
    <row r="138" spans="2:47" hidden="1" x14ac:dyDescent="0.2">
      <c r="B138" s="112" t="str">
        <f t="shared" si="26"/>
        <v/>
      </c>
      <c r="C138" s="112"/>
      <c r="D138" s="112" t="str">
        <f t="shared" ref="D138" si="68">D36</f>
        <v/>
      </c>
      <c r="F138" s="112"/>
      <c r="G138" s="112"/>
      <c r="H138" s="112"/>
      <c r="I138" s="112"/>
      <c r="J138" s="112"/>
      <c r="K138" s="112"/>
      <c r="L138" s="112" t="b">
        <f t="shared" si="61"/>
        <v>0</v>
      </c>
      <c r="M138" s="112" t="e">
        <f t="shared" si="32"/>
        <v>#N/A</v>
      </c>
      <c r="N138" s="112" t="e">
        <f t="shared" si="33"/>
        <v>#N/A</v>
      </c>
      <c r="O138" s="112" t="str">
        <f t="shared" si="34"/>
        <v/>
      </c>
      <c r="P138" s="112">
        <v>25</v>
      </c>
      <c r="Q138" s="112" t="e">
        <f t="shared" si="35"/>
        <v>#N/A</v>
      </c>
      <c r="R138" s="112"/>
      <c r="S138" s="112"/>
      <c r="T138" s="112"/>
      <c r="U138" s="112" t="e">
        <f t="shared" si="27"/>
        <v>#N/A</v>
      </c>
      <c r="V138" s="209" t="e">
        <f t="shared" si="28"/>
        <v>#N/A</v>
      </c>
      <c r="W138" s="209"/>
      <c r="X138" s="209"/>
      <c r="Y138" s="112"/>
      <c r="AA138" s="112"/>
      <c r="AB138" s="112" t="e">
        <f t="shared" si="36"/>
        <v>#VALUE!</v>
      </c>
      <c r="AD138" s="112" t="s">
        <v>70</v>
      </c>
      <c r="AE138" s="112">
        <f>EXP(AE124+((AE125)^2)/2)</f>
        <v>1.8639068956024209E-2</v>
      </c>
      <c r="AF138" s="112">
        <f>EXP(AE124)*EXP(AE127)</f>
        <v>1.8639068956024206E-2</v>
      </c>
      <c r="AL138" s="112">
        <v>5</v>
      </c>
      <c r="AM138" s="112">
        <v>2.28592</v>
      </c>
      <c r="AP138" s="112"/>
      <c r="AQ138" s="112"/>
      <c r="AR138" s="112"/>
      <c r="AS138" s="112"/>
      <c r="AT138" s="112"/>
      <c r="AU138" s="112"/>
    </row>
    <row r="139" spans="2:47" hidden="1" x14ac:dyDescent="0.2">
      <c r="B139" s="112" t="str">
        <f t="shared" si="26"/>
        <v/>
      </c>
      <c r="C139" s="112"/>
      <c r="D139" s="112" t="str">
        <f t="shared" ref="D139" si="69">D37</f>
        <v/>
      </c>
      <c r="F139" s="112"/>
      <c r="G139" s="112"/>
      <c r="H139" s="112"/>
      <c r="I139" s="112"/>
      <c r="J139" s="112"/>
      <c r="K139" s="112"/>
      <c r="L139" s="112" t="b">
        <f t="shared" si="61"/>
        <v>0</v>
      </c>
      <c r="M139" s="112" t="e">
        <f t="shared" si="32"/>
        <v>#N/A</v>
      </c>
      <c r="N139" s="112" t="e">
        <f t="shared" si="33"/>
        <v>#N/A</v>
      </c>
      <c r="O139" s="112" t="str">
        <f t="shared" si="34"/>
        <v/>
      </c>
      <c r="P139" s="112">
        <v>26</v>
      </c>
      <c r="Q139" s="112" t="e">
        <f t="shared" si="35"/>
        <v>#N/A</v>
      </c>
      <c r="R139" s="112"/>
      <c r="S139" s="112"/>
      <c r="T139" s="112"/>
      <c r="U139" s="112" t="e">
        <f t="shared" si="27"/>
        <v>#N/A</v>
      </c>
      <c r="V139" s="209" t="e">
        <f>IF(P139&lt;$AB$6+1,((P139)/($AB$6+1)),NA())</f>
        <v>#N/A</v>
      </c>
      <c r="W139" s="209"/>
      <c r="X139" s="209"/>
      <c r="Y139" s="112"/>
      <c r="AA139" s="112"/>
      <c r="AB139" s="112" t="e">
        <f t="shared" si="36"/>
        <v>#VALUE!</v>
      </c>
      <c r="AL139" s="112">
        <v>6</v>
      </c>
      <c r="AM139" s="112">
        <v>2.1869999999999998</v>
      </c>
      <c r="AP139" s="112"/>
      <c r="AQ139" s="112"/>
      <c r="AR139" s="112"/>
      <c r="AS139" s="112"/>
      <c r="AT139" s="112"/>
      <c r="AU139" s="112"/>
    </row>
    <row r="140" spans="2:47" hidden="1" x14ac:dyDescent="0.2">
      <c r="B140" s="112" t="str">
        <f t="shared" si="26"/>
        <v/>
      </c>
      <c r="C140" s="112"/>
      <c r="D140" s="112" t="str">
        <f t="shared" ref="D140" si="70">D38</f>
        <v/>
      </c>
      <c r="F140" s="112"/>
      <c r="G140" s="112"/>
      <c r="H140" s="112"/>
      <c r="I140" s="112"/>
      <c r="J140" s="112"/>
      <c r="K140" s="112"/>
      <c r="L140" s="112" t="b">
        <f t="shared" si="61"/>
        <v>0</v>
      </c>
      <c r="M140" s="112" t="e">
        <f t="shared" si="32"/>
        <v>#N/A</v>
      </c>
      <c r="N140" s="112" t="e">
        <f t="shared" si="33"/>
        <v>#N/A</v>
      </c>
      <c r="O140" s="112" t="str">
        <f t="shared" si="34"/>
        <v/>
      </c>
      <c r="P140" s="112">
        <v>27</v>
      </c>
      <c r="Q140" s="112" t="e">
        <f t="shared" si="35"/>
        <v>#N/A</v>
      </c>
      <c r="R140" s="112"/>
      <c r="S140" s="112"/>
      <c r="T140" s="112"/>
      <c r="U140" s="112" t="e">
        <f t="shared" si="27"/>
        <v>#N/A</v>
      </c>
      <c r="V140" s="209" t="e">
        <f t="shared" si="28"/>
        <v>#N/A</v>
      </c>
      <c r="W140" s="209"/>
      <c r="X140" s="209"/>
      <c r="Y140" s="112"/>
      <c r="AA140" s="112"/>
      <c r="AB140" s="112" t="e">
        <f t="shared" si="36"/>
        <v>#VALUE!</v>
      </c>
      <c r="AL140" s="112">
        <v>7</v>
      </c>
      <c r="AM140" s="112">
        <v>2.12</v>
      </c>
      <c r="AP140" s="112"/>
      <c r="AQ140" s="112"/>
      <c r="AR140" s="112"/>
      <c r="AS140" s="112"/>
      <c r="AT140" s="112"/>
      <c r="AU140" s="112"/>
    </row>
    <row r="141" spans="2:47" hidden="1" x14ac:dyDescent="0.2">
      <c r="B141" s="112" t="str">
        <f t="shared" si="26"/>
        <v/>
      </c>
      <c r="C141" s="112"/>
      <c r="D141" s="112" t="str">
        <f t="shared" ref="D141" si="71">D39</f>
        <v/>
      </c>
      <c r="F141" s="112"/>
      <c r="G141" s="112"/>
      <c r="H141" s="112"/>
      <c r="I141" s="112"/>
      <c r="J141" s="112"/>
      <c r="K141" s="112"/>
      <c r="L141" s="112" t="b">
        <f t="shared" si="61"/>
        <v>0</v>
      </c>
      <c r="M141" s="112" t="e">
        <f t="shared" si="32"/>
        <v>#N/A</v>
      </c>
      <c r="N141" s="112" t="e">
        <f t="shared" si="33"/>
        <v>#N/A</v>
      </c>
      <c r="O141" s="112" t="str">
        <f t="shared" si="34"/>
        <v/>
      </c>
      <c r="P141" s="112">
        <v>28</v>
      </c>
      <c r="Q141" s="112" t="e">
        <f t="shared" si="35"/>
        <v>#N/A</v>
      </c>
      <c r="R141" s="112"/>
      <c r="S141" s="112"/>
      <c r="T141" s="112"/>
      <c r="U141" s="112" t="e">
        <f t="shared" si="27"/>
        <v>#N/A</v>
      </c>
      <c r="V141" s="209" t="e">
        <f t="shared" si="28"/>
        <v>#N/A</v>
      </c>
      <c r="W141" s="209"/>
      <c r="X141" s="209"/>
      <c r="Y141" s="112"/>
      <c r="AA141" s="112"/>
      <c r="AB141" s="112" t="e">
        <f t="shared" si="36"/>
        <v>#VALUE!</v>
      </c>
      <c r="AL141" s="112">
        <v>8</v>
      </c>
      <c r="AM141" s="112">
        <v>2.0720000000000001</v>
      </c>
      <c r="AP141" s="112"/>
      <c r="AQ141" s="112"/>
      <c r="AR141" s="112"/>
      <c r="AS141" s="112"/>
      <c r="AT141" s="112"/>
      <c r="AU141" s="112"/>
    </row>
    <row r="142" spans="2:47" hidden="1" x14ac:dyDescent="0.2">
      <c r="B142" s="112" t="str">
        <f t="shared" si="26"/>
        <v/>
      </c>
      <c r="C142" s="112"/>
      <c r="D142" s="112" t="str">
        <f t="shared" ref="D142" si="72">D40</f>
        <v/>
      </c>
      <c r="F142" s="112"/>
      <c r="G142" s="112"/>
      <c r="H142" s="112"/>
      <c r="I142" s="112"/>
      <c r="J142" s="112"/>
      <c r="K142" s="112"/>
      <c r="L142" s="112" t="b">
        <f t="shared" si="61"/>
        <v>0</v>
      </c>
      <c r="M142" s="112" t="e">
        <f t="shared" si="32"/>
        <v>#N/A</v>
      </c>
      <c r="N142" s="112" t="e">
        <f t="shared" si="33"/>
        <v>#N/A</v>
      </c>
      <c r="O142" s="112" t="str">
        <f t="shared" si="34"/>
        <v/>
      </c>
      <c r="P142" s="112">
        <v>29</v>
      </c>
      <c r="Q142" s="112" t="e">
        <f t="shared" si="35"/>
        <v>#N/A</v>
      </c>
      <c r="R142" s="112"/>
      <c r="S142" s="112"/>
      <c r="T142" s="112"/>
      <c r="U142" s="112" t="e">
        <f t="shared" si="27"/>
        <v>#N/A</v>
      </c>
      <c r="V142" s="209" t="e">
        <f t="shared" si="28"/>
        <v>#N/A</v>
      </c>
      <c r="W142" s="209"/>
      <c r="X142" s="209"/>
      <c r="Y142" s="112"/>
      <c r="AA142" s="112"/>
      <c r="AB142" s="112" t="e">
        <f t="shared" si="36"/>
        <v>#VALUE!</v>
      </c>
      <c r="AL142" s="112">
        <v>9</v>
      </c>
      <c r="AM142" s="112">
        <v>2.0350000000000001</v>
      </c>
      <c r="AP142" s="112"/>
      <c r="AQ142" s="112"/>
      <c r="AR142" s="112"/>
      <c r="AS142" s="112"/>
      <c r="AT142" s="112"/>
      <c r="AU142" s="112"/>
    </row>
    <row r="143" spans="2:47" hidden="1" x14ac:dyDescent="0.2">
      <c r="B143" s="112" t="str">
        <f t="shared" si="26"/>
        <v/>
      </c>
      <c r="C143" s="112"/>
      <c r="D143" s="112" t="str">
        <f t="shared" ref="D143" si="73">D41</f>
        <v/>
      </c>
      <c r="F143" s="112"/>
      <c r="G143" s="112"/>
      <c r="H143" s="112"/>
      <c r="I143" s="112"/>
      <c r="J143" s="112"/>
      <c r="K143" s="112"/>
      <c r="L143" s="112" t="b">
        <f t="shared" si="61"/>
        <v>0</v>
      </c>
      <c r="M143" s="112" t="e">
        <f t="shared" si="32"/>
        <v>#N/A</v>
      </c>
      <c r="N143" s="112" t="e">
        <f t="shared" si="33"/>
        <v>#N/A</v>
      </c>
      <c r="O143" s="112" t="str">
        <f t="shared" si="34"/>
        <v/>
      </c>
      <c r="P143" s="112">
        <v>30</v>
      </c>
      <c r="Q143" s="112" t="e">
        <f t="shared" si="35"/>
        <v>#N/A</v>
      </c>
      <c r="R143" s="112"/>
      <c r="S143" s="112"/>
      <c r="T143" s="112"/>
      <c r="U143" s="112" t="e">
        <f t="shared" si="27"/>
        <v>#N/A</v>
      </c>
      <c r="V143" s="209" t="e">
        <f t="shared" si="28"/>
        <v>#N/A</v>
      </c>
      <c r="W143" s="209"/>
      <c r="X143" s="209"/>
      <c r="Y143" s="112"/>
      <c r="AA143" s="112"/>
      <c r="AB143" s="112" t="e">
        <f t="shared" si="36"/>
        <v>#VALUE!</v>
      </c>
      <c r="AL143" s="112">
        <v>10</v>
      </c>
      <c r="AM143" s="112">
        <v>2.0049999999999999</v>
      </c>
      <c r="AP143" s="112"/>
      <c r="AQ143" s="112"/>
      <c r="AR143" s="112"/>
      <c r="AS143" s="112"/>
      <c r="AT143" s="112"/>
      <c r="AU143" s="112"/>
    </row>
    <row r="144" spans="2:47" hidden="1" x14ac:dyDescent="0.2">
      <c r="B144" s="112" t="str">
        <f t="shared" si="26"/>
        <v/>
      </c>
      <c r="C144" s="112"/>
      <c r="D144" s="112" t="str">
        <f t="shared" ref="D144" si="74">D42</f>
        <v/>
      </c>
      <c r="F144" s="112"/>
      <c r="G144" s="112"/>
      <c r="H144" s="112"/>
      <c r="I144" s="112"/>
      <c r="J144" s="112"/>
      <c r="K144" s="112"/>
      <c r="L144" s="112" t="b">
        <f t="shared" si="61"/>
        <v>0</v>
      </c>
      <c r="M144" s="112" t="e">
        <f t="shared" si="32"/>
        <v>#N/A</v>
      </c>
      <c r="N144" s="112" t="e">
        <f t="shared" si="33"/>
        <v>#N/A</v>
      </c>
      <c r="O144" s="112" t="str">
        <f t="shared" si="34"/>
        <v/>
      </c>
      <c r="P144" s="112">
        <v>31</v>
      </c>
      <c r="Q144" s="112" t="e">
        <f t="shared" si="35"/>
        <v>#N/A</v>
      </c>
      <c r="R144" s="112"/>
      <c r="S144" s="112"/>
      <c r="T144" s="112"/>
      <c r="U144" s="112" t="e">
        <f t="shared" si="27"/>
        <v>#N/A</v>
      </c>
      <c r="V144" s="209" t="e">
        <f t="shared" si="28"/>
        <v>#N/A</v>
      </c>
      <c r="W144" s="209"/>
      <c r="X144" s="209"/>
      <c r="Y144" s="112"/>
      <c r="AA144" s="112"/>
      <c r="AB144" s="112" t="e">
        <f t="shared" si="36"/>
        <v>#VALUE!</v>
      </c>
      <c r="AL144" s="112">
        <v>11</v>
      </c>
      <c r="AM144" s="112">
        <v>1.9810000000000001</v>
      </c>
      <c r="AP144" s="112"/>
      <c r="AQ144" s="112"/>
      <c r="AR144" s="112"/>
      <c r="AS144" s="112"/>
      <c r="AT144" s="112"/>
      <c r="AU144" s="112"/>
    </row>
    <row r="145" spans="2:47" hidden="1" x14ac:dyDescent="0.2">
      <c r="B145" s="112" t="str">
        <f t="shared" si="26"/>
        <v/>
      </c>
      <c r="C145" s="112"/>
      <c r="D145" s="112" t="str">
        <f t="shared" ref="D145" si="75">D43</f>
        <v/>
      </c>
      <c r="F145" s="112"/>
      <c r="G145" s="112"/>
      <c r="H145" s="112"/>
      <c r="I145" s="112"/>
      <c r="J145" s="112"/>
      <c r="K145" s="112"/>
      <c r="L145" s="112" t="b">
        <f t="shared" si="61"/>
        <v>0</v>
      </c>
      <c r="M145" s="112" t="e">
        <f t="shared" si="32"/>
        <v>#N/A</v>
      </c>
      <c r="N145" s="112" t="e">
        <f t="shared" si="33"/>
        <v>#N/A</v>
      </c>
      <c r="O145" s="112" t="str">
        <f t="shared" si="34"/>
        <v/>
      </c>
      <c r="P145" s="112">
        <v>32</v>
      </c>
      <c r="Q145" s="112" t="e">
        <f t="shared" si="35"/>
        <v>#N/A</v>
      </c>
      <c r="R145" s="112"/>
      <c r="S145" s="112"/>
      <c r="T145" s="112"/>
      <c r="U145" s="112" t="e">
        <f t="shared" si="27"/>
        <v>#N/A</v>
      </c>
      <c r="V145" s="209" t="e">
        <f t="shared" si="28"/>
        <v>#N/A</v>
      </c>
      <c r="W145" s="209"/>
      <c r="X145" s="209"/>
      <c r="Y145" s="112"/>
      <c r="AA145" s="112"/>
      <c r="AB145" s="112" t="e">
        <f t="shared" si="36"/>
        <v>#VALUE!</v>
      </c>
      <c r="AE145" s="112" t="s">
        <v>421</v>
      </c>
      <c r="AL145" s="112">
        <v>12</v>
      </c>
      <c r="AM145" s="112">
        <v>1.9610000000000001</v>
      </c>
      <c r="AP145" s="112"/>
      <c r="AQ145" s="112"/>
      <c r="AR145" s="112"/>
      <c r="AS145" s="112"/>
      <c r="AT145" s="112"/>
      <c r="AU145" s="112"/>
    </row>
    <row r="146" spans="2:47" hidden="1" x14ac:dyDescent="0.2">
      <c r="B146" s="112" t="str">
        <f t="shared" ref="B146:D164" si="76">B44</f>
        <v/>
      </c>
      <c r="C146" s="112"/>
      <c r="D146" s="112" t="str">
        <f t="shared" ref="D146" si="77">D44</f>
        <v/>
      </c>
      <c r="F146" s="112"/>
      <c r="G146" s="112"/>
      <c r="H146" s="112"/>
      <c r="I146" s="112"/>
      <c r="J146" s="112"/>
      <c r="K146" s="112"/>
      <c r="L146" s="112" t="b">
        <f t="shared" si="61"/>
        <v>0</v>
      </c>
      <c r="M146" s="112" t="e">
        <f t="shared" si="32"/>
        <v>#N/A</v>
      </c>
      <c r="N146" s="112" t="e">
        <f t="shared" si="33"/>
        <v>#N/A</v>
      </c>
      <c r="O146" s="112" t="str">
        <f t="shared" si="34"/>
        <v/>
      </c>
      <c r="P146" s="112">
        <v>33</v>
      </c>
      <c r="Q146" s="112" t="e">
        <f t="shared" ref="Q146:Q163" si="78">IF(P146&lt;$AB$6+1,SMALL($D$12:$D$62,P146),NA())</f>
        <v>#N/A</v>
      </c>
      <c r="R146" s="112"/>
      <c r="S146" s="112"/>
      <c r="T146" s="112"/>
      <c r="U146" s="112" t="e">
        <f t="shared" ref="U146:U163" si="79">NORMSINV(V146)+5</f>
        <v>#N/A</v>
      </c>
      <c r="V146" s="209" t="e">
        <f t="shared" ref="V146:V163" si="80">IF(P146&lt;$AB$6+1,((P146)/($AB$6+1)),NA())</f>
        <v>#N/A</v>
      </c>
      <c r="W146" s="209"/>
      <c r="X146" s="209"/>
      <c r="Y146" s="112"/>
      <c r="AA146" s="112"/>
      <c r="AB146" s="112" t="e">
        <f t="shared" si="36"/>
        <v>#VALUE!</v>
      </c>
      <c r="AL146" s="112">
        <v>13</v>
      </c>
      <c r="AM146" s="112">
        <v>1.944</v>
      </c>
      <c r="AP146" s="112"/>
      <c r="AQ146" s="112"/>
      <c r="AR146" s="112"/>
      <c r="AS146" s="112"/>
      <c r="AT146" s="112"/>
      <c r="AU146" s="112"/>
    </row>
    <row r="147" spans="2:47" hidden="1" x14ac:dyDescent="0.2">
      <c r="B147" s="112" t="str">
        <f t="shared" si="76"/>
        <v/>
      </c>
      <c r="C147" s="112"/>
      <c r="D147" s="112" t="str">
        <f t="shared" ref="D147" si="81">D45</f>
        <v/>
      </c>
      <c r="F147" s="112"/>
      <c r="G147" s="112"/>
      <c r="H147" s="112"/>
      <c r="I147" s="112"/>
      <c r="J147" s="112"/>
      <c r="K147" s="112"/>
      <c r="L147" s="112" t="b">
        <f t="shared" ref="L147:L162" si="82">IF(ISNUMBER(M147),P147)</f>
        <v>0</v>
      </c>
      <c r="M147" s="112" t="e">
        <f t="shared" si="32"/>
        <v>#N/A</v>
      </c>
      <c r="N147" s="112" t="e">
        <f t="shared" si="33"/>
        <v>#N/A</v>
      </c>
      <c r="O147" s="112" t="str">
        <f t="shared" si="34"/>
        <v/>
      </c>
      <c r="P147" s="112">
        <v>34</v>
      </c>
      <c r="Q147" s="112" t="e">
        <f t="shared" si="78"/>
        <v>#N/A</v>
      </c>
      <c r="R147" s="112"/>
      <c r="S147" s="112"/>
      <c r="T147" s="112"/>
      <c r="U147" s="112" t="e">
        <f t="shared" si="79"/>
        <v>#N/A</v>
      </c>
      <c r="V147" s="209" t="e">
        <f t="shared" si="80"/>
        <v>#N/A</v>
      </c>
      <c r="W147" s="209"/>
      <c r="X147" s="209"/>
      <c r="Y147" s="112"/>
      <c r="AA147" s="112"/>
      <c r="AB147" s="112" t="e">
        <f t="shared" ref="AB147:AB165" si="83">RANK(D44,$D$12:$D$62, 1)</f>
        <v>#VALUE!</v>
      </c>
      <c r="AE147" s="112" t="s">
        <v>423</v>
      </c>
      <c r="AL147" s="112">
        <v>14</v>
      </c>
      <c r="AM147" s="112">
        <v>1.929</v>
      </c>
      <c r="AP147" s="112"/>
      <c r="AQ147" s="112"/>
      <c r="AR147" s="112"/>
      <c r="AS147" s="112"/>
      <c r="AT147" s="112"/>
      <c r="AU147" s="112"/>
    </row>
    <row r="148" spans="2:47" hidden="1" x14ac:dyDescent="0.2">
      <c r="B148" s="112" t="str">
        <f t="shared" si="76"/>
        <v/>
      </c>
      <c r="C148" s="112"/>
      <c r="D148" s="112" t="str">
        <f t="shared" ref="D148" si="84">D46</f>
        <v/>
      </c>
      <c r="F148" s="112"/>
      <c r="G148" s="112"/>
      <c r="H148" s="112"/>
      <c r="I148" s="112"/>
      <c r="J148" s="112"/>
      <c r="K148" s="112"/>
      <c r="L148" s="112" t="b">
        <f t="shared" si="82"/>
        <v>0</v>
      </c>
      <c r="M148" s="112" t="e">
        <f t="shared" si="32"/>
        <v>#N/A</v>
      </c>
      <c r="N148" s="112" t="e">
        <f t="shared" si="33"/>
        <v>#N/A</v>
      </c>
      <c r="O148" s="112" t="str">
        <f t="shared" si="34"/>
        <v/>
      </c>
      <c r="P148" s="112">
        <v>35</v>
      </c>
      <c r="Q148" s="112" t="e">
        <f t="shared" si="78"/>
        <v>#N/A</v>
      </c>
      <c r="R148" s="112"/>
      <c r="S148" s="112"/>
      <c r="T148" s="112"/>
      <c r="U148" s="112" t="e">
        <f t="shared" si="79"/>
        <v>#N/A</v>
      </c>
      <c r="V148" s="209" t="e">
        <f t="shared" si="80"/>
        <v>#N/A</v>
      </c>
      <c r="W148" s="209"/>
      <c r="X148" s="209"/>
      <c r="Y148" s="112"/>
      <c r="AA148" s="112"/>
      <c r="AB148" s="112" t="e">
        <f t="shared" si="83"/>
        <v>#VALUE!</v>
      </c>
      <c r="AE148" s="112" t="s">
        <v>424</v>
      </c>
      <c r="AL148" s="112">
        <v>15</v>
      </c>
      <c r="AM148" s="112">
        <v>1.917</v>
      </c>
      <c r="AP148" s="112"/>
      <c r="AQ148" s="112"/>
      <c r="AR148" s="112"/>
      <c r="AS148" s="112"/>
      <c r="AT148" s="112"/>
      <c r="AU148" s="112"/>
    </row>
    <row r="149" spans="2:47" hidden="1" x14ac:dyDescent="0.2">
      <c r="B149" s="112" t="str">
        <f t="shared" si="76"/>
        <v/>
      </c>
      <c r="C149" s="112"/>
      <c r="D149" s="112" t="str">
        <f t="shared" ref="D149" si="85">D47</f>
        <v/>
      </c>
      <c r="F149" s="112"/>
      <c r="G149" s="112"/>
      <c r="H149" s="112"/>
      <c r="I149" s="112"/>
      <c r="J149" s="112"/>
      <c r="K149" s="112"/>
      <c r="L149" s="112" t="b">
        <f t="shared" si="82"/>
        <v>0</v>
      </c>
      <c r="M149" s="112" t="e">
        <f t="shared" si="32"/>
        <v>#N/A</v>
      </c>
      <c r="N149" s="112" t="e">
        <f t="shared" si="33"/>
        <v>#N/A</v>
      </c>
      <c r="O149" s="112" t="str">
        <f t="shared" si="34"/>
        <v/>
      </c>
      <c r="P149" s="112">
        <v>36</v>
      </c>
      <c r="Q149" s="112" t="e">
        <f t="shared" si="78"/>
        <v>#N/A</v>
      </c>
      <c r="R149" s="112"/>
      <c r="S149" s="112"/>
      <c r="T149" s="112"/>
      <c r="U149" s="112" t="e">
        <f t="shared" si="79"/>
        <v>#N/A</v>
      </c>
      <c r="V149" s="209" t="e">
        <f t="shared" si="80"/>
        <v>#N/A</v>
      </c>
      <c r="W149" s="209"/>
      <c r="X149" s="209"/>
      <c r="Y149" s="112"/>
      <c r="AA149" s="112"/>
      <c r="AB149" s="112" t="e">
        <f t="shared" si="83"/>
        <v>#VALUE!</v>
      </c>
      <c r="AE149" s="112" t="s">
        <v>422</v>
      </c>
      <c r="AL149" s="112">
        <v>16</v>
      </c>
      <c r="AM149" s="112">
        <v>1.905</v>
      </c>
      <c r="AP149" s="112"/>
      <c r="AQ149" s="112"/>
      <c r="AR149" s="112"/>
      <c r="AS149" s="112"/>
      <c r="AT149" s="112"/>
      <c r="AU149" s="112"/>
    </row>
    <row r="150" spans="2:47" hidden="1" x14ac:dyDescent="0.2">
      <c r="B150" s="112" t="str">
        <f t="shared" si="76"/>
        <v/>
      </c>
      <c r="C150" s="112"/>
      <c r="D150" s="112" t="str">
        <f t="shared" ref="D150" si="86">D48</f>
        <v/>
      </c>
      <c r="F150" s="112"/>
      <c r="G150" s="112"/>
      <c r="H150" s="112"/>
      <c r="I150" s="112"/>
      <c r="J150" s="112"/>
      <c r="K150" s="112"/>
      <c r="L150" s="112" t="b">
        <f t="shared" si="82"/>
        <v>0</v>
      </c>
      <c r="M150" s="112" t="e">
        <f t="shared" si="32"/>
        <v>#N/A</v>
      </c>
      <c r="N150" s="112" t="e">
        <f t="shared" si="33"/>
        <v>#N/A</v>
      </c>
      <c r="O150" s="112" t="str">
        <f t="shared" si="34"/>
        <v/>
      </c>
      <c r="P150" s="112">
        <v>37</v>
      </c>
      <c r="Q150" s="112" t="e">
        <f t="shared" si="78"/>
        <v>#N/A</v>
      </c>
      <c r="R150" s="112"/>
      <c r="S150" s="112"/>
      <c r="T150" s="112"/>
      <c r="U150" s="112" t="e">
        <f t="shared" si="79"/>
        <v>#N/A</v>
      </c>
      <c r="V150" s="209" t="e">
        <f t="shared" si="80"/>
        <v>#N/A</v>
      </c>
      <c r="W150" s="209"/>
      <c r="X150" s="209"/>
      <c r="Y150" s="112"/>
      <c r="AA150" s="112"/>
      <c r="AB150" s="112" t="e">
        <f t="shared" si="83"/>
        <v>#VALUE!</v>
      </c>
      <c r="AE150" s="112" t="s">
        <v>425</v>
      </c>
      <c r="AL150" s="112">
        <v>17</v>
      </c>
      <c r="AM150" s="112">
        <v>1.895</v>
      </c>
      <c r="AP150" s="112"/>
      <c r="AQ150" s="112"/>
      <c r="AR150" s="112"/>
      <c r="AS150" s="112"/>
      <c r="AT150" s="112"/>
      <c r="AU150" s="112"/>
    </row>
    <row r="151" spans="2:47" hidden="1" x14ac:dyDescent="0.2">
      <c r="B151" s="112" t="str">
        <f t="shared" si="76"/>
        <v/>
      </c>
      <c r="C151" s="112"/>
      <c r="D151" s="112" t="str">
        <f t="shared" ref="D151" si="87">D49</f>
        <v/>
      </c>
      <c r="F151" s="112"/>
      <c r="G151" s="112"/>
      <c r="H151" s="112"/>
      <c r="I151" s="112"/>
      <c r="J151" s="112"/>
      <c r="K151" s="112"/>
      <c r="L151" s="112" t="b">
        <f t="shared" si="82"/>
        <v>0</v>
      </c>
      <c r="M151" s="112" t="e">
        <f t="shared" si="32"/>
        <v>#N/A</v>
      </c>
      <c r="N151" s="112" t="e">
        <f t="shared" si="33"/>
        <v>#N/A</v>
      </c>
      <c r="O151" s="112" t="str">
        <f t="shared" si="34"/>
        <v/>
      </c>
      <c r="P151" s="112">
        <v>38</v>
      </c>
      <c r="Q151" s="112" t="e">
        <f t="shared" si="78"/>
        <v>#N/A</v>
      </c>
      <c r="R151" s="112"/>
      <c r="S151" s="112"/>
      <c r="T151" s="112"/>
      <c r="U151" s="112" t="e">
        <f t="shared" si="79"/>
        <v>#N/A</v>
      </c>
      <c r="V151" s="209" t="e">
        <f t="shared" si="80"/>
        <v>#N/A</v>
      </c>
      <c r="W151" s="209"/>
      <c r="X151" s="209"/>
      <c r="Y151" s="112"/>
      <c r="AA151" s="112"/>
      <c r="AB151" s="112" t="e">
        <f t="shared" si="83"/>
        <v>#VALUE!</v>
      </c>
      <c r="AE151" s="112" t="s">
        <v>426</v>
      </c>
      <c r="AL151" s="112">
        <v>18</v>
      </c>
      <c r="AM151" s="112">
        <v>1.8859999999999999</v>
      </c>
      <c r="AP151" s="112"/>
      <c r="AQ151" s="112"/>
      <c r="AR151" s="112"/>
      <c r="AS151" s="112"/>
      <c r="AT151" s="112"/>
      <c r="AU151" s="112"/>
    </row>
    <row r="152" spans="2:47" hidden="1" x14ac:dyDescent="0.2">
      <c r="B152" s="112" t="str">
        <f t="shared" si="76"/>
        <v/>
      </c>
      <c r="C152" s="112"/>
      <c r="D152" s="112" t="str">
        <f t="shared" ref="D152" si="88">D50</f>
        <v/>
      </c>
      <c r="F152" s="112"/>
      <c r="G152" s="112"/>
      <c r="H152" s="112"/>
      <c r="I152" s="112"/>
      <c r="J152" s="112"/>
      <c r="K152" s="112"/>
      <c r="L152" s="112" t="b">
        <f t="shared" si="82"/>
        <v>0</v>
      </c>
      <c r="M152" s="112" t="e">
        <f t="shared" si="32"/>
        <v>#N/A</v>
      </c>
      <c r="N152" s="112" t="e">
        <f t="shared" si="33"/>
        <v>#N/A</v>
      </c>
      <c r="O152" s="112" t="str">
        <f t="shared" si="34"/>
        <v/>
      </c>
      <c r="P152" s="112">
        <v>39</v>
      </c>
      <c r="Q152" s="112" t="e">
        <f t="shared" si="78"/>
        <v>#N/A</v>
      </c>
      <c r="R152" s="112"/>
      <c r="S152" s="112"/>
      <c r="T152" s="112"/>
      <c r="U152" s="112" t="e">
        <f t="shared" si="79"/>
        <v>#N/A</v>
      </c>
      <c r="V152" s="209" t="e">
        <f t="shared" si="80"/>
        <v>#N/A</v>
      </c>
      <c r="W152" s="209"/>
      <c r="X152" s="209"/>
      <c r="Y152" s="112"/>
      <c r="AA152" s="112"/>
      <c r="AB152" s="112" t="e">
        <f t="shared" si="83"/>
        <v>#VALUE!</v>
      </c>
      <c r="AE152" s="112" t="s">
        <v>427</v>
      </c>
      <c r="AL152" s="112">
        <v>19</v>
      </c>
      <c r="AM152" s="112">
        <v>1.8779999999999999</v>
      </c>
      <c r="AP152" s="112"/>
      <c r="AQ152" s="112"/>
      <c r="AR152" s="112"/>
      <c r="AS152" s="112"/>
      <c r="AT152" s="112"/>
      <c r="AU152" s="112"/>
    </row>
    <row r="153" spans="2:47" hidden="1" x14ac:dyDescent="0.2">
      <c r="B153" s="112" t="str">
        <f t="shared" si="76"/>
        <v/>
      </c>
      <c r="C153" s="112"/>
      <c r="D153" s="112" t="str">
        <f t="shared" ref="D153" si="89">D51</f>
        <v/>
      </c>
      <c r="F153" s="112"/>
      <c r="G153" s="112"/>
      <c r="H153" s="112"/>
      <c r="I153" s="112"/>
      <c r="J153" s="112"/>
      <c r="K153" s="112"/>
      <c r="L153" s="112" t="b">
        <f t="shared" si="82"/>
        <v>0</v>
      </c>
      <c r="M153" s="112" t="e">
        <f t="shared" si="32"/>
        <v>#N/A</v>
      </c>
      <c r="N153" s="112" t="e">
        <f t="shared" si="33"/>
        <v>#N/A</v>
      </c>
      <c r="O153" s="112" t="str">
        <f t="shared" si="34"/>
        <v/>
      </c>
      <c r="P153" s="112">
        <v>40</v>
      </c>
      <c r="Q153" s="112" t="e">
        <f t="shared" si="78"/>
        <v>#N/A</v>
      </c>
      <c r="R153" s="112"/>
      <c r="S153" s="112"/>
      <c r="T153" s="112"/>
      <c r="U153" s="112" t="e">
        <f t="shared" si="79"/>
        <v>#N/A</v>
      </c>
      <c r="V153" s="209" t="e">
        <f t="shared" si="80"/>
        <v>#N/A</v>
      </c>
      <c r="W153" s="209"/>
      <c r="X153" s="209"/>
      <c r="Y153" s="112"/>
      <c r="AA153" s="112"/>
      <c r="AB153" s="112" t="e">
        <f t="shared" si="83"/>
        <v>#VALUE!</v>
      </c>
      <c r="AL153" s="112">
        <v>20</v>
      </c>
      <c r="AM153" s="112">
        <v>1.87</v>
      </c>
      <c r="AP153" s="112"/>
      <c r="AQ153" s="112"/>
      <c r="AR153" s="112"/>
      <c r="AS153" s="112"/>
      <c r="AT153" s="112"/>
      <c r="AU153" s="112"/>
    </row>
    <row r="154" spans="2:47" hidden="1" x14ac:dyDescent="0.2">
      <c r="B154" s="112" t="str">
        <f t="shared" si="76"/>
        <v/>
      </c>
      <c r="C154" s="112"/>
      <c r="D154" s="112" t="str">
        <f t="shared" ref="D154" si="90">D52</f>
        <v/>
      </c>
      <c r="F154" s="112"/>
      <c r="G154" s="112"/>
      <c r="H154" s="112"/>
      <c r="I154" s="112"/>
      <c r="J154" s="112"/>
      <c r="K154" s="112"/>
      <c r="L154" s="112" t="b">
        <f t="shared" si="82"/>
        <v>0</v>
      </c>
      <c r="M154" s="112" t="e">
        <f t="shared" si="32"/>
        <v>#N/A</v>
      </c>
      <c r="N154" s="112" t="e">
        <f t="shared" si="33"/>
        <v>#N/A</v>
      </c>
      <c r="O154" s="112" t="str">
        <f t="shared" si="34"/>
        <v/>
      </c>
      <c r="P154" s="112">
        <v>41</v>
      </c>
      <c r="Q154" s="112" t="e">
        <f t="shared" si="78"/>
        <v>#N/A</v>
      </c>
      <c r="R154" s="112"/>
      <c r="S154" s="112"/>
      <c r="T154" s="112"/>
      <c r="U154" s="112" t="e">
        <f t="shared" si="79"/>
        <v>#N/A</v>
      </c>
      <c r="V154" s="209" t="e">
        <f t="shared" si="80"/>
        <v>#N/A</v>
      </c>
      <c r="W154" s="209"/>
      <c r="X154" s="209"/>
      <c r="Y154" s="112"/>
      <c r="AA154" s="112"/>
      <c r="AB154" s="112" t="e">
        <f t="shared" si="83"/>
        <v>#VALUE!</v>
      </c>
      <c r="AL154" s="112">
        <v>21</v>
      </c>
      <c r="AM154" s="112">
        <v>1.863</v>
      </c>
      <c r="AP154" s="112"/>
      <c r="AQ154" s="112"/>
      <c r="AR154" s="112"/>
      <c r="AS154" s="112"/>
      <c r="AT154" s="112"/>
      <c r="AU154" s="112"/>
    </row>
    <row r="155" spans="2:47" hidden="1" x14ac:dyDescent="0.2">
      <c r="B155" s="112" t="str">
        <f t="shared" si="76"/>
        <v/>
      </c>
      <c r="C155" s="112"/>
      <c r="D155" s="112" t="str">
        <f t="shared" ref="D155" si="91">D53</f>
        <v/>
      </c>
      <c r="F155" s="112"/>
      <c r="G155" s="112"/>
      <c r="H155" s="112"/>
      <c r="I155" s="112"/>
      <c r="J155" s="112"/>
      <c r="K155" s="112"/>
      <c r="L155" s="112" t="b">
        <f t="shared" si="82"/>
        <v>0</v>
      </c>
      <c r="M155" s="112" t="e">
        <f t="shared" si="32"/>
        <v>#N/A</v>
      </c>
      <c r="N155" s="112" t="e">
        <f t="shared" si="33"/>
        <v>#N/A</v>
      </c>
      <c r="O155" s="112" t="str">
        <f t="shared" si="34"/>
        <v/>
      </c>
      <c r="P155" s="112">
        <v>42</v>
      </c>
      <c r="Q155" s="112" t="e">
        <f t="shared" si="78"/>
        <v>#N/A</v>
      </c>
      <c r="R155" s="112"/>
      <c r="S155" s="112"/>
      <c r="T155" s="112"/>
      <c r="U155" s="112" t="e">
        <f t="shared" si="79"/>
        <v>#N/A</v>
      </c>
      <c r="V155" s="209" t="e">
        <f t="shared" si="80"/>
        <v>#N/A</v>
      </c>
      <c r="W155" s="209"/>
      <c r="X155" s="209"/>
      <c r="Y155" s="112"/>
      <c r="AA155" s="112"/>
      <c r="AB155" s="112" t="e">
        <f t="shared" si="83"/>
        <v>#VALUE!</v>
      </c>
      <c r="AD155" s="112" t="s">
        <v>244</v>
      </c>
      <c r="AL155" s="112">
        <v>22</v>
      </c>
      <c r="AM155" s="112">
        <v>1.857</v>
      </c>
      <c r="AP155" s="112"/>
      <c r="AQ155" s="112"/>
      <c r="AR155" s="112"/>
      <c r="AS155" s="112"/>
      <c r="AT155" s="112"/>
      <c r="AU155" s="112"/>
    </row>
    <row r="156" spans="2:47" hidden="1" x14ac:dyDescent="0.2">
      <c r="B156" s="112" t="str">
        <f t="shared" si="76"/>
        <v/>
      </c>
      <c r="C156" s="112"/>
      <c r="D156" s="112" t="str">
        <f t="shared" ref="D156" si="92">D54</f>
        <v/>
      </c>
      <c r="F156" s="112"/>
      <c r="G156" s="112"/>
      <c r="H156" s="112"/>
      <c r="I156" s="112"/>
      <c r="J156" s="112"/>
      <c r="K156" s="112"/>
      <c r="L156" s="112" t="b">
        <f t="shared" si="82"/>
        <v>0</v>
      </c>
      <c r="M156" s="112" t="e">
        <f t="shared" si="32"/>
        <v>#N/A</v>
      </c>
      <c r="N156" s="112" t="e">
        <f t="shared" si="33"/>
        <v>#N/A</v>
      </c>
      <c r="O156" s="112" t="str">
        <f t="shared" si="34"/>
        <v/>
      </c>
      <c r="P156" s="112">
        <v>43</v>
      </c>
      <c r="Q156" s="112" t="e">
        <f t="shared" si="78"/>
        <v>#N/A</v>
      </c>
      <c r="R156" s="112"/>
      <c r="S156" s="112"/>
      <c r="T156" s="112"/>
      <c r="U156" s="112" t="e">
        <f t="shared" si="79"/>
        <v>#N/A</v>
      </c>
      <c r="V156" s="209" t="e">
        <f t="shared" si="80"/>
        <v>#N/A</v>
      </c>
      <c r="W156" s="209"/>
      <c r="X156" s="209"/>
      <c r="Y156" s="112"/>
      <c r="AA156" s="112"/>
      <c r="AB156" s="112" t="e">
        <f t="shared" si="83"/>
        <v>#VALUE!</v>
      </c>
      <c r="AL156" s="112">
        <v>23</v>
      </c>
      <c r="AM156" s="112">
        <v>1.851</v>
      </c>
      <c r="AP156" s="112"/>
      <c r="AQ156" s="112"/>
      <c r="AR156" s="112"/>
      <c r="AS156" s="112"/>
      <c r="AT156" s="112"/>
      <c r="AU156" s="112"/>
    </row>
    <row r="157" spans="2:47" hidden="1" x14ac:dyDescent="0.2">
      <c r="B157" s="112" t="str">
        <f t="shared" si="76"/>
        <v/>
      </c>
      <c r="C157" s="112"/>
      <c r="D157" s="112" t="str">
        <f t="shared" ref="D157" si="93">D55</f>
        <v/>
      </c>
      <c r="F157" s="112"/>
      <c r="G157" s="112"/>
      <c r="H157" s="112"/>
      <c r="I157" s="112"/>
      <c r="J157" s="112"/>
      <c r="K157" s="112"/>
      <c r="L157" s="112" t="b">
        <f t="shared" si="82"/>
        <v>0</v>
      </c>
      <c r="M157" s="112" t="e">
        <f t="shared" si="32"/>
        <v>#N/A</v>
      </c>
      <c r="N157" s="112" t="e">
        <f t="shared" si="33"/>
        <v>#N/A</v>
      </c>
      <c r="O157" s="112" t="str">
        <f t="shared" si="34"/>
        <v/>
      </c>
      <c r="P157" s="112">
        <v>44</v>
      </c>
      <c r="Q157" s="112" t="e">
        <f t="shared" si="78"/>
        <v>#N/A</v>
      </c>
      <c r="R157" s="112"/>
      <c r="S157" s="112"/>
      <c r="T157" s="112"/>
      <c r="U157" s="112" t="e">
        <f t="shared" si="79"/>
        <v>#N/A</v>
      </c>
      <c r="V157" s="209" t="e">
        <f t="shared" si="80"/>
        <v>#N/A</v>
      </c>
      <c r="W157" s="209"/>
      <c r="X157" s="209"/>
      <c r="Y157" s="112"/>
      <c r="AA157" s="112"/>
      <c r="AB157" s="112" t="e">
        <f t="shared" si="83"/>
        <v>#VALUE!</v>
      </c>
      <c r="AD157" s="112" t="s">
        <v>41</v>
      </c>
      <c r="AF157" s="112" t="s">
        <v>42</v>
      </c>
      <c r="AL157" s="112">
        <v>24</v>
      </c>
      <c r="AM157" s="112">
        <v>1.8460000000000001</v>
      </c>
      <c r="AP157" s="112"/>
      <c r="AQ157" s="112"/>
      <c r="AR157" s="112"/>
      <c r="AS157" s="112"/>
      <c r="AT157" s="112"/>
      <c r="AU157" s="112"/>
    </row>
    <row r="158" spans="2:47" hidden="1" x14ac:dyDescent="0.2">
      <c r="B158" s="112" t="str">
        <f t="shared" si="76"/>
        <v/>
      </c>
      <c r="C158" s="112"/>
      <c r="D158" s="112" t="str">
        <f t="shared" ref="D158" si="94">D56</f>
        <v/>
      </c>
      <c r="F158" s="112"/>
      <c r="G158" s="112"/>
      <c r="H158" s="112"/>
      <c r="I158" s="112"/>
      <c r="J158" s="112"/>
      <c r="K158" s="112"/>
      <c r="L158" s="112" t="b">
        <f t="shared" si="82"/>
        <v>0</v>
      </c>
      <c r="M158" s="112" t="e">
        <f t="shared" si="32"/>
        <v>#N/A</v>
      </c>
      <c r="N158" s="112" t="e">
        <f t="shared" si="33"/>
        <v>#N/A</v>
      </c>
      <c r="O158" s="112" t="str">
        <f t="shared" si="34"/>
        <v/>
      </c>
      <c r="P158" s="112">
        <v>45</v>
      </c>
      <c r="Q158" s="112" t="e">
        <f t="shared" si="78"/>
        <v>#N/A</v>
      </c>
      <c r="R158" s="112"/>
      <c r="S158" s="112"/>
      <c r="T158" s="112"/>
      <c r="U158" s="112" t="e">
        <f t="shared" si="79"/>
        <v>#N/A</v>
      </c>
      <c r="V158" s="209" t="e">
        <f t="shared" si="80"/>
        <v>#N/A</v>
      </c>
      <c r="W158" s="209"/>
      <c r="X158" s="209"/>
      <c r="Y158" s="112"/>
      <c r="AA158" s="112"/>
      <c r="AB158" s="112" t="e">
        <f t="shared" si="83"/>
        <v>#VALUE!</v>
      </c>
      <c r="AD158" s="112" t="s">
        <v>562</v>
      </c>
      <c r="AE158" s="188">
        <f>AVERAGE(D12:D61)</f>
        <v>1.253231225482293E-2</v>
      </c>
      <c r="AL158" s="112">
        <v>25</v>
      </c>
      <c r="AM158" s="112">
        <v>1.841</v>
      </c>
      <c r="AP158" s="112"/>
      <c r="AQ158" s="112"/>
      <c r="AR158" s="112"/>
      <c r="AS158" s="112"/>
      <c r="AT158" s="112"/>
      <c r="AU158" s="112"/>
    </row>
    <row r="159" spans="2:47" hidden="1" x14ac:dyDescent="0.2">
      <c r="B159" s="112" t="str">
        <f t="shared" si="76"/>
        <v/>
      </c>
      <c r="C159" s="112"/>
      <c r="D159" s="112" t="str">
        <f t="shared" ref="D159" si="95">D57</f>
        <v/>
      </c>
      <c r="F159" s="112"/>
      <c r="G159" s="112"/>
      <c r="H159" s="112"/>
      <c r="I159" s="112"/>
      <c r="J159" s="112"/>
      <c r="K159" s="112"/>
      <c r="L159" s="112" t="b">
        <f t="shared" si="82"/>
        <v>0</v>
      </c>
      <c r="M159" s="112" t="e">
        <f t="shared" si="32"/>
        <v>#N/A</v>
      </c>
      <c r="N159" s="112" t="e">
        <f t="shared" si="33"/>
        <v>#N/A</v>
      </c>
      <c r="O159" s="112" t="str">
        <f t="shared" si="34"/>
        <v/>
      </c>
      <c r="P159" s="112">
        <v>46</v>
      </c>
      <c r="Q159" s="112" t="e">
        <f t="shared" si="78"/>
        <v>#N/A</v>
      </c>
      <c r="R159" s="112"/>
      <c r="S159" s="112"/>
      <c r="T159" s="112"/>
      <c r="U159" s="112" t="e">
        <f t="shared" si="79"/>
        <v>#N/A</v>
      </c>
      <c r="V159" s="209" t="e">
        <f t="shared" si="80"/>
        <v>#N/A</v>
      </c>
      <c r="W159" s="209"/>
      <c r="X159" s="209"/>
      <c r="Y159" s="112"/>
      <c r="AA159" s="112"/>
      <c r="AB159" s="112" t="e">
        <f t="shared" si="83"/>
        <v>#VALUE!</v>
      </c>
      <c r="AD159" s="112" t="s">
        <v>563</v>
      </c>
      <c r="AE159" s="112">
        <f>STDEV(D12:D61)</f>
        <v>1.1218037560309866E-2</v>
      </c>
      <c r="AL159" s="112">
        <v>26</v>
      </c>
      <c r="AM159" s="112">
        <v>1.8360000000000001</v>
      </c>
      <c r="AP159" s="112"/>
      <c r="AQ159" s="112"/>
      <c r="AR159" s="112"/>
      <c r="AS159" s="112"/>
      <c r="AT159" s="112"/>
      <c r="AU159" s="112"/>
    </row>
    <row r="160" spans="2:47" hidden="1" x14ac:dyDescent="0.2">
      <c r="B160" s="112" t="str">
        <f t="shared" si="76"/>
        <v/>
      </c>
      <c r="C160" s="112"/>
      <c r="D160" s="112" t="str">
        <f t="shared" ref="D160" si="96">D58</f>
        <v/>
      </c>
      <c r="F160" s="112"/>
      <c r="G160" s="112"/>
      <c r="H160" s="112"/>
      <c r="I160" s="112"/>
      <c r="J160" s="112"/>
      <c r="K160" s="112"/>
      <c r="L160" s="112" t="b">
        <f t="shared" si="82"/>
        <v>0</v>
      </c>
      <c r="M160" s="112" t="e">
        <f t="shared" si="32"/>
        <v>#N/A</v>
      </c>
      <c r="N160" s="112" t="e">
        <f t="shared" si="33"/>
        <v>#N/A</v>
      </c>
      <c r="O160" s="112" t="str">
        <f t="shared" si="34"/>
        <v/>
      </c>
      <c r="P160" s="112">
        <v>47</v>
      </c>
      <c r="Q160" s="112" t="e">
        <f t="shared" si="78"/>
        <v>#N/A</v>
      </c>
      <c r="R160" s="112"/>
      <c r="S160" s="112"/>
      <c r="T160" s="112"/>
      <c r="U160" s="112" t="e">
        <f t="shared" si="79"/>
        <v>#N/A</v>
      </c>
      <c r="V160" s="209" t="e">
        <f t="shared" si="80"/>
        <v>#N/A</v>
      </c>
      <c r="W160" s="209"/>
      <c r="X160" s="209"/>
      <c r="Y160" s="112"/>
      <c r="AA160" s="112"/>
      <c r="AB160" s="112" t="e">
        <f t="shared" si="83"/>
        <v>#VALUE!</v>
      </c>
      <c r="AD160" s="112" t="s">
        <v>44</v>
      </c>
      <c r="AE160" s="112">
        <f>N</f>
        <v>11</v>
      </c>
      <c r="AL160" s="112">
        <v>27</v>
      </c>
      <c r="AM160" s="112">
        <v>1.8320000000000001</v>
      </c>
      <c r="AP160" s="112"/>
      <c r="AQ160" s="112"/>
      <c r="AR160" s="112"/>
      <c r="AS160" s="112"/>
      <c r="AT160" s="112"/>
      <c r="AU160" s="112"/>
    </row>
    <row r="161" spans="2:47" hidden="1" x14ac:dyDescent="0.2">
      <c r="B161" s="112" t="str">
        <f t="shared" si="76"/>
        <v/>
      </c>
      <c r="C161" s="112"/>
      <c r="D161" s="112" t="str">
        <f t="shared" ref="D161" si="97">D59</f>
        <v/>
      </c>
      <c r="F161" s="112"/>
      <c r="G161" s="112"/>
      <c r="H161" s="112"/>
      <c r="I161" s="112"/>
      <c r="J161" s="112"/>
      <c r="K161" s="112"/>
      <c r="L161" s="112" t="b">
        <f t="shared" si="82"/>
        <v>0</v>
      </c>
      <c r="M161" s="112" t="e">
        <f t="shared" si="32"/>
        <v>#N/A</v>
      </c>
      <c r="N161" s="112" t="e">
        <f t="shared" si="33"/>
        <v>#N/A</v>
      </c>
      <c r="O161" s="112" t="str">
        <f t="shared" si="34"/>
        <v/>
      </c>
      <c r="P161" s="112">
        <v>48</v>
      </c>
      <c r="Q161" s="112" t="e">
        <f t="shared" si="78"/>
        <v>#N/A</v>
      </c>
      <c r="R161" s="112"/>
      <c r="S161" s="112"/>
      <c r="T161" s="112"/>
      <c r="U161" s="112" t="e">
        <f t="shared" si="79"/>
        <v>#N/A</v>
      </c>
      <c r="V161" s="209" t="e">
        <f t="shared" si="80"/>
        <v>#N/A</v>
      </c>
      <c r="W161" s="209"/>
      <c r="X161" s="209"/>
      <c r="Y161" s="112"/>
      <c r="AA161" s="112"/>
      <c r="AB161" s="112" t="e">
        <f t="shared" si="83"/>
        <v>#VALUE!</v>
      </c>
      <c r="AD161" s="112" t="s">
        <v>53</v>
      </c>
      <c r="AE161" s="112">
        <f>((AE159)^2)/2</f>
        <v>6.2922183352261466E-5</v>
      </c>
      <c r="AL161" s="112">
        <v>28</v>
      </c>
      <c r="AM161" s="112">
        <v>1.8280000000000001</v>
      </c>
      <c r="AP161" s="112"/>
      <c r="AQ161" s="112"/>
      <c r="AR161" s="112"/>
      <c r="AS161" s="112"/>
      <c r="AT161" s="112"/>
      <c r="AU161" s="112"/>
    </row>
    <row r="162" spans="2:47" hidden="1" x14ac:dyDescent="0.2">
      <c r="B162" s="112" t="str">
        <f t="shared" si="76"/>
        <v/>
      </c>
      <c r="C162" s="112"/>
      <c r="D162" s="112" t="str">
        <f t="shared" ref="D162" si="98">D60</f>
        <v/>
      </c>
      <c r="F162" s="112"/>
      <c r="G162" s="112"/>
      <c r="H162" s="112"/>
      <c r="I162" s="112"/>
      <c r="J162" s="112"/>
      <c r="K162" s="112"/>
      <c r="L162" s="112" t="b">
        <f t="shared" si="82"/>
        <v>0</v>
      </c>
      <c r="M162" s="112" t="e">
        <f t="shared" si="32"/>
        <v>#N/A</v>
      </c>
      <c r="N162" s="112" t="e">
        <f t="shared" si="33"/>
        <v>#N/A</v>
      </c>
      <c r="O162" s="112" t="str">
        <f t="shared" si="34"/>
        <v/>
      </c>
      <c r="P162" s="112">
        <v>49</v>
      </c>
      <c r="Q162" s="112" t="e">
        <f t="shared" si="78"/>
        <v>#N/A</v>
      </c>
      <c r="R162" s="112"/>
      <c r="S162" s="112"/>
      <c r="T162" s="112"/>
      <c r="U162" s="112" t="e">
        <f t="shared" si="79"/>
        <v>#N/A</v>
      </c>
      <c r="V162" s="209" t="e">
        <f t="shared" si="80"/>
        <v>#N/A</v>
      </c>
      <c r="W162" s="209"/>
      <c r="X162" s="209"/>
      <c r="Y162" s="112"/>
      <c r="AA162" s="112"/>
      <c r="AB162" s="112" t="e">
        <f t="shared" si="83"/>
        <v>#VALUE!</v>
      </c>
      <c r="AE162" s="112">
        <v>1</v>
      </c>
      <c r="AF162" s="112">
        <v>1</v>
      </c>
      <c r="AL162" s="112">
        <v>29</v>
      </c>
      <c r="AM162" s="112">
        <v>1.8240000000000001</v>
      </c>
      <c r="AP162" s="112"/>
      <c r="AQ162" s="112"/>
      <c r="AR162" s="112"/>
      <c r="AS162" s="112"/>
      <c r="AT162" s="112"/>
      <c r="AU162" s="112"/>
    </row>
    <row r="163" spans="2:47" hidden="1" x14ac:dyDescent="0.2">
      <c r="B163" s="112" t="str">
        <f t="shared" si="76"/>
        <v/>
      </c>
      <c r="C163" s="112"/>
      <c r="D163" s="112" t="str">
        <f t="shared" ref="D163" si="99">D61</f>
        <v/>
      </c>
      <c r="F163" s="112"/>
      <c r="G163" s="112"/>
      <c r="H163" s="112"/>
      <c r="I163" s="112"/>
      <c r="J163" s="112"/>
      <c r="K163" s="112"/>
      <c r="L163" s="112" t="b">
        <f>IF(ISNUMBER(M163),P163)</f>
        <v>0</v>
      </c>
      <c r="M163" s="112" t="e">
        <f t="shared" si="32"/>
        <v>#N/A</v>
      </c>
      <c r="N163" s="112" t="e">
        <f t="shared" si="33"/>
        <v>#N/A</v>
      </c>
      <c r="O163" s="112" t="str">
        <f t="shared" si="34"/>
        <v/>
      </c>
      <c r="P163" s="112">
        <v>50</v>
      </c>
      <c r="Q163" s="112" t="e">
        <f t="shared" si="78"/>
        <v>#N/A</v>
      </c>
      <c r="R163" s="112"/>
      <c r="S163" s="112"/>
      <c r="T163" s="112"/>
      <c r="U163" s="112" t="e">
        <f t="shared" si="79"/>
        <v>#N/A</v>
      </c>
      <c r="V163" s="209" t="e">
        <f t="shared" si="80"/>
        <v>#N/A</v>
      </c>
      <c r="W163" s="209"/>
      <c r="X163" s="209"/>
      <c r="Y163" s="112"/>
      <c r="AA163" s="112"/>
      <c r="AB163" s="112" t="e">
        <f t="shared" si="83"/>
        <v>#VALUE!</v>
      </c>
      <c r="AD163" s="112" t="s">
        <v>56</v>
      </c>
      <c r="AE163" s="112">
        <f>($AE$126-1)*((($AE$125)^2)/2)/$AE$126</f>
        <v>0.50980158715594104</v>
      </c>
      <c r="AF163" s="112">
        <f>($AE$126-1)*$AE$127/$AE$126</f>
        <v>0.50980158715594104</v>
      </c>
      <c r="AL163" s="112">
        <v>30</v>
      </c>
      <c r="AM163" s="112">
        <v>1.82</v>
      </c>
      <c r="AP163" s="112"/>
      <c r="AQ163" s="112"/>
      <c r="AR163" s="112"/>
      <c r="AS163" s="112"/>
      <c r="AT163" s="112"/>
      <c r="AU163" s="112"/>
    </row>
    <row r="164" spans="2:47" hidden="1" x14ac:dyDescent="0.2">
      <c r="B164" s="112">
        <f t="shared" si="76"/>
        <v>0</v>
      </c>
      <c r="C164" s="112"/>
      <c r="D164" s="112">
        <f t="shared" si="76"/>
        <v>0</v>
      </c>
      <c r="F164" s="112"/>
      <c r="G164" s="112"/>
      <c r="H164" s="112"/>
      <c r="I164" s="112"/>
      <c r="J164" s="112"/>
      <c r="K164" s="112"/>
      <c r="L164" s="112">
        <f>IF(ISNUMBER(M164),P164)</f>
        <v>51</v>
      </c>
      <c r="M164" s="112">
        <f t="shared" si="32"/>
        <v>0</v>
      </c>
      <c r="N164" s="112" t="e">
        <f t="shared" si="33"/>
        <v>#N/A</v>
      </c>
      <c r="O164" s="112"/>
      <c r="P164" s="112">
        <v>51</v>
      </c>
      <c r="Q164" s="112" t="e">
        <f t="shared" ref="Q164" si="100">IF(P164&lt;$AB$6+1,SMALL($D$12:$D$62,P164),NA())</f>
        <v>#N/A</v>
      </c>
      <c r="R164" s="112"/>
      <c r="S164" s="112"/>
      <c r="T164" s="112"/>
      <c r="U164" s="112" t="e">
        <f t="shared" ref="U164" si="101">NORMSINV(V164)+5</f>
        <v>#N/A</v>
      </c>
      <c r="V164" s="209" t="e">
        <f t="shared" ref="V164" si="102">IF(P164&lt;$AB$6+1,((P164)/($AB$6+1)),NA())</f>
        <v>#N/A</v>
      </c>
      <c r="W164" s="209"/>
      <c r="X164" s="209"/>
      <c r="Y164" s="112"/>
      <c r="AA164" s="112"/>
      <c r="AB164" s="112" t="e">
        <f t="shared" si="83"/>
        <v>#VALUE!</v>
      </c>
      <c r="AD164" s="112" t="s">
        <v>58</v>
      </c>
      <c r="AE164" s="112">
        <f>(($AE$126-1)^3)*(((($AE$125)^2)/2)^2)/(FACT(2)*(($AE$126)^2)*($AE$126+1))</f>
        <v>0.1082906909444652</v>
      </c>
      <c r="AF164" s="112">
        <f>(($AE$126-1)^3)*(($AE$127)^2)/((FACT(2))*(($AE$126)^2)*($AE$126+1))</f>
        <v>0.1082906909444652</v>
      </c>
      <c r="AL164" s="112">
        <v>31</v>
      </c>
      <c r="AM164" s="112">
        <v>1.8169999999999999</v>
      </c>
      <c r="AP164" s="112"/>
      <c r="AQ164" s="112"/>
      <c r="AR164" s="112"/>
      <c r="AS164" s="112"/>
      <c r="AT164" s="112"/>
      <c r="AU164" s="112"/>
    </row>
    <row r="165" spans="2:47" hidden="1" x14ac:dyDescent="0.2">
      <c r="B165" s="112"/>
      <c r="C165" s="112"/>
      <c r="D165" s="112"/>
      <c r="F165" s="112"/>
      <c r="G165" s="112"/>
      <c r="H165" s="112"/>
      <c r="I165" s="112"/>
      <c r="J165" s="112"/>
      <c r="K165" s="112"/>
      <c r="L165" s="112"/>
      <c r="M165" s="112"/>
      <c r="N165" s="112"/>
      <c r="O165" s="112"/>
      <c r="P165" s="112"/>
      <c r="Q165" s="112"/>
      <c r="R165" s="112"/>
      <c r="S165" s="112"/>
      <c r="T165" s="112"/>
      <c r="U165" s="112"/>
      <c r="V165" s="209"/>
      <c r="W165" s="209"/>
      <c r="X165" s="209"/>
      <c r="Y165" s="112"/>
      <c r="AA165" s="112"/>
      <c r="AB165" s="112" t="e">
        <f t="shared" si="83"/>
        <v>#N/A</v>
      </c>
      <c r="AD165" s="112" t="s">
        <v>60</v>
      </c>
      <c r="AE165" s="112">
        <f>(($AE$126-1)^5)*(((($AE$125)^2)/2)^3)/(FACT(3)*(($AE$126)^3)*($AE$126+1)*($AE$126+3))</f>
        <v>1.3144468123262344E-2</v>
      </c>
      <c r="AF165" s="112">
        <f>(($AE$126-1)^5)*(($AE$127)^3)/((FACT(3))*(($AE$126)^3)*($AE$126+1)*($AE$126+3))</f>
        <v>1.3144468123262344E-2</v>
      </c>
      <c r="AL165" s="112">
        <v>32</v>
      </c>
      <c r="AM165" s="112">
        <v>1.8140000000000001</v>
      </c>
      <c r="AP165" s="112"/>
      <c r="AQ165" s="112"/>
      <c r="AR165" s="112"/>
      <c r="AS165" s="112"/>
      <c r="AT165" s="112"/>
      <c r="AU165" s="112"/>
    </row>
    <row r="166" spans="2:47" hidden="1" x14ac:dyDescent="0.2">
      <c r="B166" s="112"/>
      <c r="C166" s="112"/>
      <c r="D166" s="112"/>
      <c r="F166" s="112"/>
      <c r="G166" s="112"/>
      <c r="H166" s="112"/>
      <c r="I166" s="112"/>
      <c r="J166" s="112"/>
      <c r="K166" s="112"/>
      <c r="L166" s="112"/>
      <c r="M166" s="112"/>
      <c r="N166" s="112"/>
      <c r="O166" s="112"/>
      <c r="P166" s="112"/>
      <c r="Q166" s="112"/>
      <c r="R166" s="112"/>
      <c r="S166" s="112"/>
      <c r="T166" s="112"/>
      <c r="U166" s="112"/>
      <c r="V166" s="209"/>
      <c r="W166" s="209"/>
      <c r="X166" s="209"/>
      <c r="Y166" s="112"/>
      <c r="AA166" s="112"/>
      <c r="AB166" s="112"/>
      <c r="AD166" s="112" t="s">
        <v>62</v>
      </c>
      <c r="AE166" s="112">
        <f>(($AE$126-1)^7)*(((($AE$125)^2)/2)^4)/(FACT(4)*(($AE$126)^4)*($AE$126+1)*($AE$126+3)*($AE$126+5))</f>
        <v>1.047042298681221E-3</v>
      </c>
      <c r="AF166" s="112">
        <f>(($AE$126-1)^7)*(($AE$127)^4)/((FACT(4))*(($AE$126)^4)*($AE$126+1)*($AE$126+3)*($AE$126+5))</f>
        <v>1.047042298681221E-3</v>
      </c>
      <c r="AL166" s="112">
        <v>33</v>
      </c>
      <c r="AM166" s="112">
        <v>1.8109999999999999</v>
      </c>
      <c r="AP166" s="112"/>
      <c r="AQ166" s="112"/>
      <c r="AR166" s="112"/>
      <c r="AS166" s="112"/>
      <c r="AT166" s="112"/>
      <c r="AU166" s="112"/>
    </row>
    <row r="167" spans="2:47" hidden="1" x14ac:dyDescent="0.2">
      <c r="B167" s="112"/>
      <c r="C167" s="112"/>
      <c r="D167" s="112"/>
      <c r="F167" s="112"/>
      <c r="G167" s="112"/>
      <c r="H167" s="112"/>
      <c r="I167" s="112"/>
      <c r="J167" s="112"/>
      <c r="K167" s="112"/>
      <c r="L167" s="112"/>
      <c r="M167" s="112"/>
      <c r="N167" s="112"/>
      <c r="O167" s="112"/>
      <c r="P167" s="112"/>
      <c r="Q167" s="112"/>
      <c r="R167" s="112"/>
      <c r="S167" s="112"/>
      <c r="T167" s="112"/>
      <c r="U167" s="112"/>
      <c r="V167" s="209"/>
      <c r="W167" s="209"/>
      <c r="X167" s="209"/>
      <c r="Y167" s="112"/>
      <c r="AA167" s="112"/>
      <c r="AB167" s="112"/>
      <c r="AD167" s="112" t="s">
        <v>64</v>
      </c>
      <c r="AE167" s="112">
        <f>(($AE$126-1)^9)*(((($AE$125)^2)/2)^5)/(FACT(5)*(($AE$126)^5)*($AE$126+1)*($AE$126+3)*($AE$126+5)*($AE$126+7))</f>
        <v>5.9309313965232364E-5</v>
      </c>
      <c r="AF167" s="112">
        <f>(($AE$126-1)^9)*(($AE$127)^5)/((FACT(5))*(($AE$126)^5)*($AE$126+1)*($AE$126+3)*($AE$126+5)*($AE$126+7))</f>
        <v>5.9309313965232364E-5</v>
      </c>
      <c r="AL167" s="112">
        <v>34</v>
      </c>
      <c r="AM167" s="112">
        <v>1.8080000000000001</v>
      </c>
      <c r="AP167" s="112"/>
      <c r="AQ167" s="112"/>
      <c r="AR167" s="112"/>
      <c r="AS167" s="112"/>
      <c r="AT167" s="112"/>
      <c r="AU167" s="112"/>
    </row>
    <row r="168" spans="2:47" hidden="1" x14ac:dyDescent="0.2">
      <c r="B168" s="112"/>
      <c r="C168" s="112"/>
      <c r="D168" s="112"/>
      <c r="F168" s="112"/>
      <c r="G168" s="112"/>
      <c r="H168" s="112"/>
      <c r="I168" s="112"/>
      <c r="J168" s="112"/>
      <c r="K168" s="112"/>
      <c r="L168" s="112"/>
      <c r="M168" s="112"/>
      <c r="N168" s="112"/>
      <c r="O168" s="112"/>
      <c r="P168" s="112"/>
      <c r="Q168" s="112"/>
      <c r="R168" s="112"/>
      <c r="S168" s="112"/>
      <c r="T168" s="112"/>
      <c r="U168" s="112"/>
      <c r="V168" s="209"/>
      <c r="W168" s="209"/>
      <c r="X168" s="209"/>
      <c r="Y168" s="112"/>
      <c r="AA168" s="112"/>
      <c r="AB168" s="112"/>
      <c r="AD168" s="112" t="s">
        <v>66</v>
      </c>
      <c r="AF168" s="112">
        <f>(($AE$126-1)^11)*(($AE$127)^6)/((FACT(6))*(($AE$126)^6)*($AE$126+1)*($AE$126+3)*($AE$126+5)*($AE$126+7)*($AE$126+9))</f>
        <v>2.5196651993837892E-6</v>
      </c>
      <c r="AL168" s="112">
        <v>35</v>
      </c>
      <c r="AM168" s="112">
        <v>1.8049999999999999</v>
      </c>
      <c r="AP168" s="112"/>
      <c r="AQ168" s="112"/>
      <c r="AR168" s="112"/>
      <c r="AS168" s="112"/>
      <c r="AT168" s="112"/>
      <c r="AU168" s="112"/>
    </row>
    <row r="169" spans="2:47" hidden="1" x14ac:dyDescent="0.2">
      <c r="B169" s="112"/>
      <c r="C169" s="112"/>
      <c r="D169" s="112"/>
      <c r="F169" s="112"/>
      <c r="G169" s="112"/>
      <c r="H169" s="112"/>
      <c r="I169" s="112"/>
      <c r="J169" s="112"/>
      <c r="K169" s="112"/>
      <c r="L169" s="112"/>
      <c r="M169" s="112"/>
      <c r="N169" s="112"/>
      <c r="O169" s="112"/>
      <c r="P169" s="112"/>
      <c r="Q169" s="112"/>
      <c r="R169" s="112"/>
      <c r="S169" s="112"/>
      <c r="T169" s="112"/>
      <c r="U169" s="112"/>
      <c r="V169" s="209"/>
      <c r="W169" s="209"/>
      <c r="X169" s="209"/>
      <c r="Y169" s="112"/>
      <c r="AA169" s="112"/>
      <c r="AB169" s="112"/>
      <c r="AD169" s="112" t="s">
        <v>68</v>
      </c>
      <c r="AE169" s="188">
        <f>SUM(AE162:AE167)</f>
        <v>1.6323430978363151</v>
      </c>
      <c r="AF169" s="112">
        <f>SUM(AF162:AF168)</f>
        <v>1.6323456175015145</v>
      </c>
      <c r="AL169" s="112">
        <v>36</v>
      </c>
      <c r="AM169" s="112">
        <v>1.802</v>
      </c>
      <c r="AP169" s="112"/>
      <c r="AQ169" s="112"/>
      <c r="AR169" s="112"/>
      <c r="AS169" s="112"/>
      <c r="AT169" s="112"/>
      <c r="AU169" s="112"/>
    </row>
    <row r="170" spans="2:47" hidden="1" x14ac:dyDescent="0.2">
      <c r="B170" s="112"/>
      <c r="C170" s="112"/>
      <c r="D170" s="112"/>
      <c r="F170" s="112"/>
      <c r="G170" s="112"/>
      <c r="H170" s="112"/>
      <c r="I170" s="112"/>
      <c r="J170" s="112"/>
      <c r="K170" s="112"/>
      <c r="L170" s="112"/>
      <c r="M170" s="112"/>
      <c r="N170" s="112"/>
      <c r="O170" s="112"/>
      <c r="P170" s="112"/>
      <c r="Q170" s="112"/>
      <c r="R170" s="112"/>
      <c r="S170" s="112"/>
      <c r="T170" s="112"/>
      <c r="U170" s="112"/>
      <c r="V170" s="209"/>
      <c r="W170" s="209"/>
      <c r="X170" s="209"/>
      <c r="Y170" s="112"/>
      <c r="AA170" s="112"/>
      <c r="AB170" s="112"/>
      <c r="AD170" s="112" t="s">
        <v>69</v>
      </c>
      <c r="AE170" s="188">
        <f>(AE158)*AE169</f>
        <v>2.0457033409089678E-2</v>
      </c>
      <c r="AF170" s="112">
        <f>(AE158)*AF169</f>
        <v>2.0457064986320734E-2</v>
      </c>
      <c r="AL170" s="112">
        <v>37</v>
      </c>
      <c r="AM170" s="112">
        <v>1.8</v>
      </c>
      <c r="AP170" s="112"/>
      <c r="AQ170" s="112"/>
      <c r="AR170" s="112"/>
      <c r="AS170" s="112"/>
      <c r="AT170" s="112"/>
      <c r="AU170" s="112"/>
    </row>
    <row r="171" spans="2:47" hidden="1" x14ac:dyDescent="0.2">
      <c r="B171" s="112"/>
      <c r="C171" s="112"/>
      <c r="D171" s="112"/>
      <c r="F171" s="112"/>
      <c r="G171" s="112"/>
      <c r="H171" s="112"/>
      <c r="I171" s="112"/>
      <c r="J171" s="112"/>
      <c r="K171" s="112"/>
      <c r="L171" s="112"/>
      <c r="M171" s="112"/>
      <c r="N171" s="112"/>
      <c r="O171" s="112"/>
      <c r="P171" s="112"/>
      <c r="Q171" s="112"/>
      <c r="R171" s="112"/>
      <c r="S171" s="112"/>
      <c r="T171" s="112"/>
      <c r="U171" s="112"/>
      <c r="V171" s="209"/>
      <c r="W171" s="209"/>
      <c r="X171" s="209"/>
      <c r="Y171" s="112"/>
      <c r="AA171" s="112"/>
      <c r="AB171" s="112"/>
      <c r="AD171" s="112" t="s">
        <v>428</v>
      </c>
      <c r="AE171" s="188">
        <f>MAX(AE170:AF170)</f>
        <v>2.0457064986320734E-2</v>
      </c>
      <c r="AL171" s="112">
        <v>38</v>
      </c>
      <c r="AM171" s="112">
        <v>1.7969999999999999</v>
      </c>
      <c r="AP171" s="112"/>
      <c r="AQ171" s="112"/>
      <c r="AR171" s="112"/>
      <c r="AS171" s="112"/>
      <c r="AT171" s="112"/>
      <c r="AU171" s="112"/>
    </row>
    <row r="172" spans="2:47" hidden="1" x14ac:dyDescent="0.2">
      <c r="B172" s="112"/>
      <c r="C172" s="112"/>
      <c r="D172" s="112"/>
      <c r="F172" s="112"/>
      <c r="G172" s="112"/>
      <c r="H172" s="112"/>
      <c r="I172" s="112"/>
      <c r="J172" s="112"/>
      <c r="K172" s="112"/>
      <c r="L172" s="112"/>
      <c r="M172" s="112"/>
      <c r="N172" s="112"/>
      <c r="O172" s="112"/>
      <c r="P172" s="112"/>
      <c r="Q172" s="112"/>
      <c r="R172" s="112"/>
      <c r="S172" s="112"/>
      <c r="T172" s="112"/>
      <c r="U172" s="112"/>
      <c r="V172" s="209"/>
      <c r="W172" s="209"/>
      <c r="X172" s="209"/>
      <c r="Y172" s="112"/>
      <c r="AA172" s="112"/>
      <c r="AB172" s="112"/>
      <c r="AD172" s="112" t="s">
        <v>70</v>
      </c>
      <c r="AE172" s="188">
        <f>AE158+(AE159)</f>
        <v>2.3750349815132799E-2</v>
      </c>
      <c r="AF172" s="188">
        <f>(AE158)+(AE161)</f>
        <v>1.2595234438175193E-2</v>
      </c>
      <c r="AL172" s="112">
        <v>39</v>
      </c>
      <c r="AM172" s="112">
        <v>1.7949999999999999</v>
      </c>
      <c r="AP172" s="112"/>
      <c r="AQ172" s="112"/>
      <c r="AR172" s="112"/>
      <c r="AS172" s="112"/>
      <c r="AT172" s="112"/>
      <c r="AU172" s="112"/>
    </row>
    <row r="173" spans="2:47" hidden="1" x14ac:dyDescent="0.2">
      <c r="B173" s="112"/>
      <c r="C173" s="112"/>
      <c r="D173" s="112"/>
      <c r="F173" s="112"/>
      <c r="G173" s="112"/>
      <c r="H173" s="112"/>
      <c r="I173" s="112"/>
      <c r="J173" s="112"/>
      <c r="K173" s="112"/>
      <c r="L173" s="112"/>
      <c r="M173" s="112"/>
      <c r="N173" s="112"/>
      <c r="O173" s="112"/>
      <c r="P173" s="112"/>
      <c r="Q173" s="112"/>
      <c r="R173" s="112"/>
      <c r="S173" s="112"/>
      <c r="T173" s="112"/>
      <c r="U173" s="112"/>
      <c r="V173" s="209"/>
      <c r="W173" s="209"/>
      <c r="X173" s="209"/>
      <c r="Y173" s="112"/>
      <c r="AA173" s="112"/>
      <c r="AB173" s="112"/>
      <c r="AL173" s="112">
        <v>40</v>
      </c>
      <c r="AM173" s="112">
        <v>1.7929999999999999</v>
      </c>
      <c r="AP173" s="112"/>
      <c r="AQ173" s="112"/>
      <c r="AR173" s="112"/>
      <c r="AS173" s="112"/>
      <c r="AT173" s="112"/>
      <c r="AU173" s="112"/>
    </row>
    <row r="174" spans="2:47" hidden="1" x14ac:dyDescent="0.2">
      <c r="B174" s="112"/>
      <c r="C174" s="112"/>
      <c r="D174" s="112"/>
      <c r="F174" s="112"/>
      <c r="G174" s="112"/>
      <c r="H174" s="112"/>
      <c r="I174" s="112"/>
      <c r="J174" s="112"/>
      <c r="K174" s="112"/>
      <c r="L174" s="112"/>
      <c r="M174" s="112"/>
      <c r="N174" s="112"/>
      <c r="O174" s="112"/>
      <c r="P174" s="112"/>
      <c r="Q174" s="112"/>
      <c r="R174" s="112"/>
      <c r="S174" s="112"/>
      <c r="T174" s="112"/>
      <c r="U174" s="112"/>
      <c r="V174" s="209"/>
      <c r="W174" s="209"/>
      <c r="X174" s="209"/>
      <c r="Y174" s="112"/>
      <c r="AA174" s="112"/>
      <c r="AB174" s="112"/>
      <c r="AL174" s="112">
        <v>41</v>
      </c>
      <c r="AM174" s="112">
        <v>1.7909999999999999</v>
      </c>
      <c r="AP174" s="112"/>
      <c r="AQ174" s="112"/>
      <c r="AR174" s="112"/>
      <c r="AS174" s="112"/>
      <c r="AT174" s="112"/>
      <c r="AU174" s="112"/>
    </row>
    <row r="175" spans="2:47" hidden="1" x14ac:dyDescent="0.2">
      <c r="B175" s="112"/>
      <c r="C175" s="112"/>
      <c r="D175" s="112"/>
      <c r="F175" s="112"/>
      <c r="G175" s="112"/>
      <c r="H175" s="112"/>
      <c r="I175" s="112"/>
      <c r="J175" s="112"/>
      <c r="K175" s="112"/>
      <c r="L175" s="112"/>
      <c r="M175" s="112"/>
      <c r="N175" s="112"/>
      <c r="O175" s="112"/>
      <c r="P175" s="112"/>
      <c r="Q175" s="112"/>
      <c r="R175" s="112"/>
      <c r="S175" s="112"/>
      <c r="T175" s="112"/>
      <c r="U175" s="112"/>
      <c r="V175" s="209"/>
      <c r="W175" s="209"/>
      <c r="X175" s="209"/>
      <c r="Y175" s="112"/>
      <c r="AA175" s="112"/>
      <c r="AB175" s="112"/>
      <c r="AL175" s="112">
        <v>42</v>
      </c>
      <c r="AM175" s="112">
        <v>1.7889999999999999</v>
      </c>
      <c r="AP175" s="112"/>
      <c r="AQ175" s="112"/>
      <c r="AR175" s="112"/>
      <c r="AS175" s="112"/>
      <c r="AT175" s="112"/>
      <c r="AU175" s="112"/>
    </row>
    <row r="176" spans="2:47" hidden="1" x14ac:dyDescent="0.2">
      <c r="B176" s="112"/>
      <c r="C176" s="112"/>
      <c r="D176" s="112"/>
      <c r="F176" s="112"/>
      <c r="G176" s="112"/>
      <c r="H176" s="112"/>
      <c r="I176" s="112"/>
      <c r="J176" s="112"/>
      <c r="K176" s="112"/>
      <c r="L176" s="112"/>
      <c r="M176" s="112"/>
      <c r="N176" s="112"/>
      <c r="O176" s="112"/>
      <c r="P176" s="112"/>
      <c r="Q176" s="112"/>
      <c r="R176" s="112"/>
      <c r="S176" s="112"/>
      <c r="T176" s="112"/>
      <c r="U176" s="112"/>
      <c r="V176" s="209"/>
      <c r="W176" s="209"/>
      <c r="X176" s="209"/>
      <c r="Y176" s="112"/>
      <c r="AA176" s="112"/>
      <c r="AB176" s="112"/>
      <c r="AL176" s="112">
        <v>43</v>
      </c>
      <c r="AM176" s="112">
        <v>1.7869999999999999</v>
      </c>
      <c r="AP176" s="112"/>
      <c r="AQ176" s="112"/>
      <c r="AR176" s="112"/>
      <c r="AS176" s="112"/>
      <c r="AT176" s="112"/>
      <c r="AU176" s="112"/>
    </row>
    <row r="177" spans="2:47" hidden="1" x14ac:dyDescent="0.2">
      <c r="B177" s="112"/>
      <c r="C177" s="112"/>
      <c r="D177" s="112"/>
      <c r="F177" s="112"/>
      <c r="G177" s="112"/>
      <c r="H177" s="112"/>
      <c r="I177" s="112"/>
      <c r="J177" s="112"/>
      <c r="K177" s="112"/>
      <c r="L177" s="112"/>
      <c r="M177" s="112"/>
      <c r="N177" s="112"/>
      <c r="O177" s="112"/>
      <c r="P177" s="112"/>
      <c r="Q177" s="112"/>
      <c r="R177" s="112"/>
      <c r="S177" s="112"/>
      <c r="T177" s="112"/>
      <c r="U177" s="112"/>
      <c r="V177" s="209"/>
      <c r="W177" s="209"/>
      <c r="X177" s="209"/>
      <c r="Y177" s="112"/>
      <c r="AA177" s="112"/>
      <c r="AB177" s="112"/>
      <c r="AL177" s="112">
        <v>44</v>
      </c>
      <c r="AM177" s="112">
        <v>1.7849999999999999</v>
      </c>
      <c r="AP177" s="112"/>
      <c r="AQ177" s="112"/>
      <c r="AR177" s="112"/>
      <c r="AS177" s="112"/>
      <c r="AT177" s="112"/>
      <c r="AU177" s="112"/>
    </row>
    <row r="178" spans="2:47" hidden="1" x14ac:dyDescent="0.2">
      <c r="B178" s="112"/>
      <c r="C178" s="112"/>
      <c r="D178" s="112"/>
      <c r="F178" s="112"/>
      <c r="G178" s="112"/>
      <c r="H178" s="112"/>
      <c r="I178" s="112"/>
      <c r="J178" s="112"/>
      <c r="K178" s="112"/>
      <c r="L178" s="112"/>
      <c r="M178" s="112"/>
      <c r="N178" s="112"/>
      <c r="O178" s="112"/>
      <c r="P178" s="112"/>
      <c r="Q178" s="112"/>
      <c r="R178" s="112"/>
      <c r="S178" s="112"/>
      <c r="T178" s="112"/>
      <c r="U178" s="112"/>
      <c r="V178" s="209"/>
      <c r="W178" s="209"/>
      <c r="X178" s="209"/>
      <c r="Y178" s="112"/>
      <c r="AA178" s="112"/>
      <c r="AB178" s="112"/>
      <c r="AL178" s="112">
        <v>45</v>
      </c>
      <c r="AM178" s="112">
        <v>1.7829999999999999</v>
      </c>
      <c r="AP178" s="112"/>
      <c r="AQ178" s="112"/>
      <c r="AR178" s="112"/>
      <c r="AS178" s="112"/>
      <c r="AT178" s="112"/>
      <c r="AU178" s="112"/>
    </row>
    <row r="179" spans="2:47" hidden="1" x14ac:dyDescent="0.2">
      <c r="B179" s="112"/>
      <c r="C179" s="112"/>
      <c r="D179" s="112"/>
      <c r="F179" s="112"/>
      <c r="G179" s="112"/>
      <c r="H179" s="112"/>
      <c r="I179" s="112"/>
      <c r="J179" s="112"/>
      <c r="K179" s="112"/>
      <c r="L179" s="112"/>
      <c r="M179" s="112"/>
      <c r="N179" s="112"/>
      <c r="O179" s="112"/>
      <c r="P179" s="112"/>
      <c r="Q179" s="112"/>
      <c r="R179" s="112"/>
      <c r="S179" s="112"/>
      <c r="T179" s="112"/>
      <c r="U179" s="112"/>
      <c r="V179" s="209"/>
      <c r="W179" s="209"/>
      <c r="X179" s="209"/>
      <c r="Y179" s="112"/>
      <c r="AA179" s="112"/>
      <c r="AB179" s="112"/>
      <c r="AL179" s="112">
        <v>46</v>
      </c>
      <c r="AM179" s="112">
        <v>1.7809999999999999</v>
      </c>
      <c r="AP179" s="112"/>
      <c r="AQ179" s="112"/>
      <c r="AR179" s="112"/>
      <c r="AS179" s="112"/>
      <c r="AT179" s="112"/>
      <c r="AU179" s="112"/>
    </row>
    <row r="180" spans="2:47" hidden="1" x14ac:dyDescent="0.2">
      <c r="B180" s="112"/>
      <c r="C180" s="112"/>
      <c r="D180" s="112"/>
      <c r="F180" s="112"/>
      <c r="G180" s="112"/>
      <c r="H180" s="112"/>
      <c r="I180" s="112"/>
      <c r="J180" s="112"/>
      <c r="K180" s="112"/>
      <c r="L180" s="112"/>
      <c r="M180" s="112"/>
      <c r="N180" s="112"/>
      <c r="O180" s="112"/>
      <c r="P180" s="112"/>
      <c r="Q180" s="112"/>
      <c r="R180" s="112"/>
      <c r="S180" s="112"/>
      <c r="T180" s="112"/>
      <c r="U180" s="112"/>
      <c r="V180" s="209"/>
      <c r="W180" s="209"/>
      <c r="X180" s="209"/>
      <c r="Y180" s="112"/>
      <c r="AA180" s="112"/>
      <c r="AB180" s="112"/>
      <c r="AL180" s="112">
        <v>47</v>
      </c>
      <c r="AM180" s="112">
        <v>1.78</v>
      </c>
      <c r="AP180" s="112"/>
      <c r="AQ180" s="112"/>
      <c r="AR180" s="112"/>
      <c r="AS180" s="112"/>
      <c r="AT180" s="112"/>
      <c r="AU180" s="112"/>
    </row>
    <row r="181" spans="2:47" hidden="1" x14ac:dyDescent="0.2">
      <c r="B181" s="112"/>
      <c r="C181" s="112"/>
      <c r="D181" s="112"/>
      <c r="F181" s="112"/>
      <c r="G181" s="112"/>
      <c r="H181" s="112"/>
      <c r="I181" s="112"/>
      <c r="J181" s="112"/>
      <c r="K181" s="112"/>
      <c r="L181" s="112"/>
      <c r="M181" s="112"/>
      <c r="N181" s="112"/>
      <c r="O181" s="112"/>
      <c r="P181" s="112"/>
      <c r="Q181" s="112"/>
      <c r="R181" s="112"/>
      <c r="S181" s="112"/>
      <c r="T181" s="112"/>
      <c r="U181" s="112"/>
      <c r="V181" s="209"/>
      <c r="W181" s="209"/>
      <c r="X181" s="209"/>
      <c r="Y181" s="112"/>
      <c r="AA181" s="112"/>
      <c r="AB181" s="112"/>
      <c r="AL181" s="112">
        <v>48</v>
      </c>
      <c r="AM181" s="112">
        <v>1.778</v>
      </c>
      <c r="AP181" s="112"/>
      <c r="AQ181" s="112"/>
      <c r="AR181" s="112"/>
      <c r="AS181" s="112"/>
      <c r="AT181" s="112"/>
      <c r="AU181" s="112"/>
    </row>
    <row r="182" spans="2:47" hidden="1" x14ac:dyDescent="0.2">
      <c r="B182" s="112"/>
      <c r="C182" s="112"/>
      <c r="D182" s="112"/>
      <c r="F182" s="112"/>
      <c r="G182" s="112"/>
      <c r="H182" s="112"/>
      <c r="I182" s="112"/>
      <c r="J182" s="112"/>
      <c r="K182" s="112"/>
      <c r="L182" s="112"/>
      <c r="M182" s="112"/>
      <c r="N182" s="112"/>
      <c r="O182" s="112"/>
      <c r="P182" s="112"/>
      <c r="Q182" s="112"/>
      <c r="R182" s="112"/>
      <c r="S182" s="112"/>
      <c r="T182" s="112"/>
      <c r="U182" s="112"/>
      <c r="V182" s="209"/>
      <c r="W182" s="209"/>
      <c r="X182" s="209"/>
      <c r="Y182" s="112"/>
      <c r="AA182" s="112"/>
      <c r="AB182" s="112"/>
      <c r="AL182" s="112">
        <v>49</v>
      </c>
      <c r="AM182" s="112">
        <v>1.776</v>
      </c>
      <c r="AP182" s="112"/>
      <c r="AQ182" s="112"/>
      <c r="AR182" s="112"/>
      <c r="AS182" s="112"/>
      <c r="AT182" s="112"/>
      <c r="AU182" s="112"/>
    </row>
    <row r="183" spans="2:47" hidden="1" x14ac:dyDescent="0.2">
      <c r="B183" s="112"/>
      <c r="C183" s="112"/>
      <c r="D183" s="112"/>
      <c r="F183" s="112"/>
      <c r="G183" s="112"/>
      <c r="H183" s="112"/>
      <c r="I183" s="112"/>
      <c r="J183" s="112"/>
      <c r="K183" s="112"/>
      <c r="L183" s="112"/>
      <c r="M183" s="112"/>
      <c r="N183" s="112"/>
      <c r="O183" s="112"/>
      <c r="P183" s="112"/>
      <c r="Q183" s="112"/>
      <c r="R183" s="112"/>
      <c r="S183" s="112"/>
      <c r="T183" s="112"/>
      <c r="U183" s="112"/>
      <c r="V183" s="209"/>
      <c r="W183" s="209"/>
      <c r="X183" s="209"/>
      <c r="Y183" s="112"/>
      <c r="AA183" s="112"/>
      <c r="AB183" s="112"/>
      <c r="AL183" s="112">
        <v>50</v>
      </c>
      <c r="AM183" s="112">
        <v>1.7749999999999999</v>
      </c>
      <c r="AP183" s="112"/>
      <c r="AQ183" s="112"/>
      <c r="AR183" s="112"/>
      <c r="AS183" s="112"/>
      <c r="AT183" s="112"/>
      <c r="AU183" s="112"/>
    </row>
    <row r="184" spans="2:47" hidden="1" x14ac:dyDescent="0.2">
      <c r="B184" s="112"/>
      <c r="C184" s="112"/>
      <c r="D184" s="112"/>
      <c r="F184" s="112"/>
      <c r="G184" s="112"/>
      <c r="H184" s="112"/>
      <c r="I184" s="112"/>
      <c r="J184" s="112"/>
      <c r="K184" s="112"/>
      <c r="L184" s="112"/>
      <c r="M184" s="112"/>
      <c r="N184" s="112"/>
      <c r="O184" s="112"/>
      <c r="P184" s="112"/>
      <c r="Q184" s="112"/>
      <c r="R184" s="112"/>
      <c r="S184" s="112"/>
      <c r="T184" s="112"/>
      <c r="U184" s="112"/>
      <c r="V184" s="209"/>
      <c r="W184" s="209"/>
      <c r="X184" s="209"/>
      <c r="Y184" s="112"/>
      <c r="AA184" s="112"/>
      <c r="AB184" s="112"/>
      <c r="AP184" s="112"/>
      <c r="AQ184" s="112"/>
      <c r="AR184" s="112"/>
      <c r="AS184" s="112"/>
      <c r="AT184" s="112"/>
      <c r="AU184" s="112"/>
    </row>
    <row r="185" spans="2:47" hidden="1" x14ac:dyDescent="0.2">
      <c r="B185" s="112"/>
      <c r="C185" s="112"/>
      <c r="D185" s="112"/>
      <c r="F185" s="112"/>
      <c r="G185" s="112"/>
      <c r="H185" s="112"/>
      <c r="I185" s="112"/>
      <c r="J185" s="112"/>
      <c r="K185" s="112"/>
      <c r="L185" s="112"/>
      <c r="M185" s="112"/>
      <c r="N185" s="112"/>
      <c r="O185" s="112"/>
      <c r="P185" s="112"/>
      <c r="Q185" s="112"/>
      <c r="R185" s="112"/>
      <c r="S185" s="112"/>
      <c r="T185" s="112"/>
      <c r="U185" s="112"/>
      <c r="V185" s="209"/>
      <c r="W185" s="209"/>
      <c r="X185" s="209"/>
      <c r="Y185" s="112"/>
      <c r="AA185" s="112"/>
      <c r="AB185" s="112"/>
      <c r="AP185" s="112"/>
      <c r="AQ185" s="112"/>
      <c r="AR185" s="112"/>
      <c r="AS185" s="112"/>
      <c r="AT185" s="112"/>
      <c r="AU185" s="112"/>
    </row>
    <row r="186" spans="2:47" hidden="1" x14ac:dyDescent="0.2">
      <c r="B186" s="112"/>
      <c r="C186" s="112"/>
      <c r="D186" s="112"/>
      <c r="F186" s="112"/>
      <c r="G186" s="112"/>
      <c r="H186" s="112"/>
      <c r="I186" s="112"/>
      <c r="J186" s="112"/>
      <c r="K186" s="112"/>
      <c r="L186" s="112"/>
      <c r="M186" s="112"/>
      <c r="N186" s="112"/>
      <c r="O186" s="112"/>
      <c r="P186" s="112"/>
      <c r="Q186" s="112"/>
      <c r="R186" s="112"/>
      <c r="S186" s="112"/>
      <c r="T186" s="112"/>
      <c r="U186" s="112"/>
      <c r="V186" s="209"/>
      <c r="W186" s="209"/>
      <c r="X186" s="209"/>
      <c r="Y186" s="112"/>
      <c r="AA186" s="112"/>
      <c r="AB186" s="112"/>
      <c r="AP186" s="112"/>
      <c r="AQ186" s="112"/>
      <c r="AR186" s="112"/>
      <c r="AS186" s="112"/>
      <c r="AT186" s="112"/>
      <c r="AU186" s="112"/>
    </row>
    <row r="187" spans="2:47" hidden="1" x14ac:dyDescent="0.2">
      <c r="B187" s="112"/>
      <c r="C187" s="112"/>
      <c r="D187" s="112"/>
      <c r="F187" s="112"/>
      <c r="G187" s="112"/>
      <c r="H187" s="112"/>
      <c r="I187" s="112"/>
      <c r="J187" s="112"/>
      <c r="K187" s="112"/>
      <c r="L187" s="112"/>
      <c r="M187" s="112"/>
      <c r="N187" s="112"/>
      <c r="O187" s="112"/>
      <c r="P187" s="112"/>
      <c r="Q187" s="112"/>
      <c r="R187" s="112"/>
      <c r="S187" s="112"/>
      <c r="T187" s="112"/>
      <c r="U187" s="112"/>
      <c r="V187" s="209"/>
      <c r="W187" s="209"/>
      <c r="X187" s="209"/>
      <c r="Y187" s="112"/>
      <c r="AA187" s="112"/>
      <c r="AB187" s="112"/>
      <c r="AP187" s="112"/>
      <c r="AQ187" s="112"/>
      <c r="AR187" s="112"/>
      <c r="AS187" s="112"/>
      <c r="AT187" s="112"/>
      <c r="AU187" s="112"/>
    </row>
    <row r="188" spans="2:47" hidden="1" x14ac:dyDescent="0.2">
      <c r="B188" s="112"/>
      <c r="C188" s="112"/>
      <c r="D188" s="112"/>
      <c r="F188" s="112"/>
      <c r="G188" s="112"/>
      <c r="H188" s="112"/>
      <c r="I188" s="112"/>
      <c r="J188" s="112"/>
      <c r="K188" s="112"/>
      <c r="L188" s="112"/>
      <c r="M188" s="112"/>
      <c r="N188" s="112"/>
      <c r="O188" s="112"/>
      <c r="P188" s="112"/>
      <c r="Q188" s="112"/>
      <c r="R188" s="112"/>
      <c r="S188" s="112"/>
      <c r="T188" s="112"/>
      <c r="U188" s="112"/>
      <c r="V188" s="209"/>
      <c r="W188" s="209"/>
      <c r="X188" s="209"/>
      <c r="Y188" s="112"/>
      <c r="AA188" s="112"/>
      <c r="AB188" s="112"/>
      <c r="AP188" s="112"/>
      <c r="AQ188" s="112"/>
      <c r="AR188" s="112"/>
      <c r="AS188" s="112"/>
      <c r="AT188" s="112"/>
      <c r="AU188" s="112"/>
    </row>
    <row r="189" spans="2:47" hidden="1" x14ac:dyDescent="0.2">
      <c r="B189" s="112"/>
      <c r="C189" s="112"/>
      <c r="D189" s="112"/>
      <c r="F189" s="112"/>
      <c r="G189" s="112"/>
      <c r="H189" s="112"/>
      <c r="I189" s="112"/>
      <c r="J189" s="112"/>
      <c r="K189" s="112"/>
      <c r="L189" s="112"/>
      <c r="M189" s="112"/>
      <c r="N189" s="112"/>
      <c r="O189" s="112"/>
      <c r="P189" s="112"/>
      <c r="Q189" s="112"/>
      <c r="R189" s="112"/>
      <c r="S189" s="112"/>
      <c r="T189" s="112"/>
      <c r="U189" s="112"/>
      <c r="V189" s="209"/>
      <c r="W189" s="209"/>
      <c r="X189" s="209"/>
      <c r="Y189" s="112"/>
      <c r="AA189" s="112"/>
      <c r="AB189" s="112"/>
      <c r="AP189" s="112"/>
      <c r="AQ189" s="112"/>
      <c r="AR189" s="112"/>
      <c r="AS189" s="112"/>
      <c r="AT189" s="112"/>
      <c r="AU189" s="112"/>
    </row>
    <row r="190" spans="2:47" hidden="1" x14ac:dyDescent="0.2">
      <c r="B190" s="112"/>
      <c r="C190" s="112"/>
      <c r="D190" s="112"/>
      <c r="F190" s="112"/>
      <c r="G190" s="112"/>
      <c r="H190" s="112"/>
      <c r="I190" s="112"/>
      <c r="J190" s="112"/>
      <c r="K190" s="112"/>
      <c r="L190" s="112"/>
      <c r="M190" s="112"/>
      <c r="N190" s="112"/>
      <c r="O190" s="112"/>
      <c r="P190" s="112"/>
      <c r="Q190" s="112"/>
      <c r="R190" s="112"/>
      <c r="S190" s="112"/>
      <c r="T190" s="112"/>
      <c r="U190" s="112"/>
      <c r="V190" s="209"/>
      <c r="W190" s="209"/>
      <c r="X190" s="209"/>
      <c r="Y190" s="112"/>
      <c r="AA190" s="112"/>
      <c r="AB190" s="112"/>
      <c r="AP190" s="112"/>
      <c r="AQ190" s="112"/>
      <c r="AR190" s="112"/>
      <c r="AS190" s="112"/>
      <c r="AT190" s="112"/>
      <c r="AU190" s="112"/>
    </row>
    <row r="191" spans="2:47" hidden="1" x14ac:dyDescent="0.2">
      <c r="B191" s="112"/>
      <c r="C191" s="112"/>
      <c r="D191" s="112"/>
      <c r="F191" s="112"/>
      <c r="G191" s="112"/>
      <c r="H191" s="112"/>
      <c r="I191" s="112"/>
      <c r="J191" s="112"/>
      <c r="K191" s="112"/>
      <c r="L191" s="112"/>
      <c r="M191" s="112"/>
      <c r="N191" s="112"/>
      <c r="O191" s="112"/>
      <c r="P191" s="112"/>
      <c r="Q191" s="112"/>
      <c r="R191" s="112"/>
      <c r="S191" s="112"/>
      <c r="T191" s="112"/>
      <c r="U191" s="112"/>
      <c r="V191" s="209"/>
      <c r="W191" s="209"/>
      <c r="X191" s="209"/>
      <c r="Y191" s="112"/>
      <c r="AA191" s="112"/>
      <c r="AB191" s="112"/>
      <c r="AP191" s="112"/>
      <c r="AQ191" s="112"/>
      <c r="AR191" s="112"/>
      <c r="AS191" s="112"/>
      <c r="AT191" s="112"/>
      <c r="AU191" s="112"/>
    </row>
    <row r="192" spans="2:47" hidden="1" x14ac:dyDescent="0.2">
      <c r="B192" s="112"/>
      <c r="C192" s="112"/>
      <c r="D192" s="112"/>
      <c r="F192" s="112"/>
      <c r="G192" s="112"/>
      <c r="H192" s="112"/>
      <c r="I192" s="112"/>
      <c r="J192" s="112"/>
      <c r="K192" s="112"/>
      <c r="L192" s="112"/>
      <c r="M192" s="112"/>
      <c r="N192" s="112"/>
      <c r="O192" s="112"/>
      <c r="P192" s="112"/>
      <c r="Q192" s="112"/>
      <c r="R192" s="112"/>
      <c r="S192" s="112"/>
      <c r="T192" s="112"/>
      <c r="U192" s="112"/>
      <c r="V192" s="209"/>
      <c r="W192" s="209"/>
      <c r="X192" s="209"/>
      <c r="Y192" s="112"/>
      <c r="AA192" s="112"/>
      <c r="AB192" s="112"/>
      <c r="AP192" s="112"/>
      <c r="AQ192" s="112"/>
      <c r="AR192" s="112"/>
      <c r="AS192" s="112"/>
      <c r="AT192" s="112"/>
      <c r="AU192" s="112"/>
    </row>
    <row r="193" spans="2:47" hidden="1" x14ac:dyDescent="0.2">
      <c r="B193" s="112"/>
      <c r="C193" s="112"/>
      <c r="D193" s="112"/>
      <c r="F193" s="112"/>
      <c r="G193" s="112"/>
      <c r="H193" s="112"/>
      <c r="I193" s="112"/>
      <c r="J193" s="112"/>
      <c r="K193" s="112"/>
      <c r="L193" s="112"/>
      <c r="M193" s="112"/>
      <c r="N193" s="112"/>
      <c r="O193" s="112"/>
      <c r="P193" s="112"/>
      <c r="Q193" s="112"/>
      <c r="R193" s="112"/>
      <c r="S193" s="112"/>
      <c r="T193" s="112"/>
      <c r="U193" s="112"/>
      <c r="V193" s="209"/>
      <c r="W193" s="209"/>
      <c r="X193" s="209"/>
      <c r="Y193" s="112"/>
      <c r="AA193" s="112"/>
      <c r="AB193" s="112"/>
      <c r="AP193" s="112"/>
      <c r="AQ193" s="112"/>
      <c r="AR193" s="112"/>
      <c r="AS193" s="112"/>
      <c r="AT193" s="112"/>
      <c r="AU193" s="112"/>
    </row>
    <row r="194" spans="2:47" hidden="1" x14ac:dyDescent="0.2">
      <c r="B194" s="112"/>
      <c r="C194" s="112"/>
      <c r="D194" s="112"/>
      <c r="F194" s="112"/>
      <c r="G194" s="112"/>
      <c r="H194" s="112"/>
      <c r="I194" s="112"/>
      <c r="J194" s="112"/>
      <c r="K194" s="112"/>
      <c r="L194" s="112"/>
      <c r="M194" s="112"/>
      <c r="N194" s="112"/>
      <c r="O194" s="112"/>
      <c r="P194" s="112"/>
      <c r="Q194" s="112"/>
      <c r="R194" s="112"/>
      <c r="S194" s="112"/>
      <c r="T194" s="112"/>
      <c r="U194" s="112"/>
      <c r="V194" s="209"/>
      <c r="W194" s="209"/>
      <c r="X194" s="209"/>
      <c r="Y194" s="112"/>
      <c r="AA194" s="112"/>
      <c r="AB194" s="112"/>
      <c r="AP194" s="112"/>
      <c r="AQ194" s="112"/>
      <c r="AR194" s="112"/>
      <c r="AS194" s="112"/>
      <c r="AT194" s="112"/>
      <c r="AU194" s="112"/>
    </row>
    <row r="195" spans="2:47" hidden="1" x14ac:dyDescent="0.2">
      <c r="B195" s="112"/>
      <c r="C195" s="112"/>
      <c r="D195" s="112"/>
      <c r="F195" s="112"/>
      <c r="G195" s="112"/>
      <c r="H195" s="112"/>
      <c r="I195" s="112"/>
      <c r="J195" s="112"/>
      <c r="K195" s="112"/>
      <c r="L195" s="112"/>
      <c r="M195" s="112"/>
      <c r="N195" s="112"/>
      <c r="O195" s="112"/>
      <c r="P195" s="112"/>
      <c r="Q195" s="112"/>
      <c r="R195" s="112"/>
      <c r="S195" s="112"/>
      <c r="T195" s="112"/>
      <c r="U195" s="112"/>
      <c r="V195" s="209"/>
      <c r="W195" s="209"/>
      <c r="X195" s="209"/>
      <c r="Y195" s="112"/>
      <c r="AA195" s="112"/>
      <c r="AB195" s="112"/>
      <c r="AP195" s="112"/>
      <c r="AQ195" s="112"/>
      <c r="AR195" s="112"/>
      <c r="AS195" s="112"/>
      <c r="AT195" s="112"/>
      <c r="AU195" s="112"/>
    </row>
    <row r="196" spans="2:47" ht="45" hidden="1" x14ac:dyDescent="0.2">
      <c r="B196" s="112"/>
      <c r="C196" s="112"/>
      <c r="D196" s="157" t="s">
        <v>71</v>
      </c>
      <c r="F196" s="112" t="s">
        <v>285</v>
      </c>
      <c r="G196" s="112"/>
      <c r="H196" s="112"/>
      <c r="I196" s="112"/>
      <c r="J196" s="112"/>
      <c r="K196" s="112"/>
      <c r="L196" s="112"/>
      <c r="M196" s="112"/>
      <c r="N196" s="112"/>
      <c r="O196" s="112"/>
      <c r="P196" s="112"/>
      <c r="Q196" s="112"/>
      <c r="R196" s="112"/>
      <c r="S196" s="112"/>
      <c r="T196" s="112"/>
      <c r="U196" s="112"/>
      <c r="V196" s="209"/>
      <c r="W196" s="209"/>
      <c r="X196" s="209"/>
      <c r="Y196" s="112"/>
      <c r="AA196" s="112"/>
      <c r="AB196" s="112"/>
      <c r="AC196" s="1"/>
      <c r="AP196" s="112"/>
      <c r="AQ196" s="112"/>
      <c r="AR196" s="112"/>
      <c r="AS196" s="112"/>
      <c r="AT196" s="112"/>
      <c r="AU196" s="112"/>
    </row>
    <row r="197" spans="2:47" hidden="1" x14ac:dyDescent="0.2">
      <c r="B197" s="112"/>
      <c r="C197" s="112"/>
      <c r="D197" s="112"/>
      <c r="F197" s="112"/>
      <c r="G197" s="112"/>
      <c r="H197" s="112"/>
      <c r="I197" s="112"/>
      <c r="J197" s="112"/>
      <c r="K197" s="112"/>
      <c r="L197" s="112"/>
      <c r="M197" s="112"/>
      <c r="N197" s="112"/>
      <c r="O197" s="112"/>
      <c r="P197" s="112"/>
      <c r="Q197" s="112"/>
      <c r="R197" s="112"/>
      <c r="S197" s="112"/>
      <c r="T197" s="112"/>
      <c r="U197" s="112"/>
      <c r="V197" s="209"/>
      <c r="W197" s="209"/>
      <c r="X197" s="209"/>
      <c r="Y197" s="112"/>
      <c r="AA197" s="112"/>
      <c r="AB197" s="112"/>
      <c r="AC197" s="1"/>
      <c r="AP197" s="112"/>
      <c r="AQ197" s="112"/>
      <c r="AR197" s="112"/>
      <c r="AS197" s="112"/>
      <c r="AT197" s="112"/>
      <c r="AU197" s="112"/>
    </row>
    <row r="198" spans="2:47" hidden="1" x14ac:dyDescent="0.2">
      <c r="B198" s="112"/>
      <c r="C198" s="112"/>
      <c r="D198" s="112" t="s">
        <v>72</v>
      </c>
      <c r="E198" s="1">
        <f>($AB$17*($AB$18^(2.33)))/100</f>
        <v>1.2546650875723188E-3</v>
      </c>
      <c r="F198" s="112" t="s">
        <v>72</v>
      </c>
      <c r="G198" s="112">
        <f>($AB$12-$AB$14*-2.33)/100</f>
        <v>4.6494312487501533E-4</v>
      </c>
      <c r="H198" s="112"/>
      <c r="I198" s="112"/>
      <c r="J198" s="112"/>
      <c r="K198" s="112"/>
      <c r="L198" s="112"/>
      <c r="M198" s="112"/>
      <c r="N198" s="112"/>
      <c r="O198" s="112"/>
      <c r="P198" s="112"/>
      <c r="Q198" s="112"/>
      <c r="R198" s="112"/>
      <c r="S198" s="112"/>
      <c r="T198" s="112"/>
      <c r="U198" s="112"/>
      <c r="V198" s="209"/>
      <c r="W198" s="209"/>
      <c r="X198" s="209"/>
      <c r="Y198" s="112"/>
      <c r="AA198" s="112"/>
      <c r="AB198" s="112" t="s">
        <v>242</v>
      </c>
      <c r="AC198" s="1"/>
      <c r="AP198" s="112"/>
      <c r="AQ198" s="112"/>
      <c r="AR198" s="112"/>
      <c r="AS198" s="112"/>
      <c r="AT198" s="112"/>
      <c r="AU198" s="112"/>
    </row>
    <row r="199" spans="2:47" hidden="1" x14ac:dyDescent="0.2">
      <c r="B199" s="112"/>
      <c r="C199" s="112"/>
      <c r="D199" s="112"/>
      <c r="F199" s="112"/>
      <c r="G199" s="112"/>
      <c r="H199" s="112"/>
      <c r="I199" s="112"/>
      <c r="J199" s="112"/>
      <c r="K199" s="112"/>
      <c r="L199" s="112"/>
      <c r="M199" s="112"/>
      <c r="N199" s="112"/>
      <c r="O199" s="112"/>
      <c r="P199" s="112"/>
      <c r="Q199" s="112"/>
      <c r="R199" s="112"/>
      <c r="S199" s="112"/>
      <c r="T199" s="112"/>
      <c r="U199" s="112"/>
      <c r="V199" s="209"/>
      <c r="W199" s="209"/>
      <c r="X199" s="209"/>
      <c r="Y199" s="112"/>
      <c r="AA199" s="112"/>
      <c r="AB199" s="112"/>
      <c r="AC199" s="1" t="s">
        <v>73</v>
      </c>
      <c r="AE199" s="112" t="s">
        <v>74</v>
      </c>
      <c r="AG199" s="112" t="s">
        <v>247</v>
      </c>
      <c r="AP199" s="112"/>
      <c r="AQ199" s="112"/>
      <c r="AR199" s="112"/>
      <c r="AS199" s="112"/>
      <c r="AT199" s="112"/>
      <c r="AU199" s="112"/>
    </row>
    <row r="200" spans="2:47" hidden="1" x14ac:dyDescent="0.2">
      <c r="B200" s="112"/>
      <c r="C200" s="112"/>
      <c r="D200" s="112" t="s">
        <v>7</v>
      </c>
      <c r="E200" s="1" t="s">
        <v>75</v>
      </c>
      <c r="F200" s="112" t="s">
        <v>7</v>
      </c>
      <c r="G200" s="112" t="s">
        <v>75</v>
      </c>
      <c r="H200" s="112"/>
      <c r="I200" s="112"/>
      <c r="J200" s="112"/>
      <c r="K200" s="112"/>
      <c r="L200" s="112"/>
      <c r="M200" s="112"/>
      <c r="N200" s="112"/>
      <c r="O200" s="112"/>
      <c r="P200" s="112"/>
      <c r="Q200" s="112"/>
      <c r="R200" s="112"/>
      <c r="S200" s="112"/>
      <c r="T200" s="112"/>
      <c r="U200" s="112"/>
      <c r="V200" s="209"/>
      <c r="W200" s="209"/>
      <c r="X200" s="209"/>
      <c r="Y200" s="112"/>
      <c r="AA200" s="112"/>
      <c r="AB200" s="112"/>
      <c r="AC200" s="1"/>
      <c r="AP200" s="112"/>
      <c r="AQ200" s="112"/>
      <c r="AR200" s="112"/>
      <c r="AS200" s="112"/>
      <c r="AT200" s="112"/>
      <c r="AU200" s="112"/>
    </row>
    <row r="201" spans="2:47" hidden="1" x14ac:dyDescent="0.2">
      <c r="B201" s="112"/>
      <c r="C201" s="112"/>
      <c r="D201" s="112">
        <f>E198</f>
        <v>1.2546650875723188E-3</v>
      </c>
      <c r="E201" s="1">
        <f t="shared" ref="E201:E232" si="103">(EXP(((LN(D201)-$AB$15)^2)/(-2*($AB$16^2))))/(D201*$AB$16*SQRT(2*PI()))</f>
        <v>39.155102587836744</v>
      </c>
      <c r="F201" s="112">
        <f>G198</f>
        <v>4.6494312487501533E-4</v>
      </c>
      <c r="G201" s="112">
        <f>_xlfn.NORM.DIST(F201,$AB$12,$AB$14,FALSE)</f>
        <v>15.09174623223341</v>
      </c>
      <c r="H201" s="112"/>
      <c r="I201" s="112"/>
      <c r="J201" s="112"/>
      <c r="K201" s="112"/>
      <c r="L201" s="112"/>
      <c r="M201" s="112"/>
      <c r="N201" s="112"/>
      <c r="O201" s="112"/>
      <c r="P201" s="112"/>
      <c r="Q201" s="112"/>
      <c r="R201" s="112"/>
      <c r="S201" s="112"/>
      <c r="T201" s="112"/>
      <c r="U201" s="112"/>
      <c r="V201" s="209"/>
      <c r="W201" s="209"/>
      <c r="X201" s="209"/>
      <c r="Y201" s="112"/>
      <c r="AA201" s="112"/>
      <c r="AB201" s="112" t="s">
        <v>18</v>
      </c>
      <c r="AC201" s="1" t="s">
        <v>7</v>
      </c>
      <c r="AD201" s="112" t="s">
        <v>18</v>
      </c>
      <c r="AE201" s="112" t="s">
        <v>7</v>
      </c>
      <c r="AF201" s="112" t="s">
        <v>18</v>
      </c>
      <c r="AG201" s="112" t="s">
        <v>7</v>
      </c>
      <c r="AH201" s="112" t="s">
        <v>18</v>
      </c>
      <c r="AP201" s="112"/>
      <c r="AQ201" s="112"/>
      <c r="AR201" s="112"/>
      <c r="AS201" s="112"/>
      <c r="AT201" s="112"/>
      <c r="AU201" s="112"/>
    </row>
    <row r="202" spans="2:47" hidden="1" x14ac:dyDescent="0.2">
      <c r="B202" s="112"/>
      <c r="C202" s="112"/>
      <c r="D202" s="112">
        <f t="shared" ref="D202:D233" si="104">D201+$E$198</f>
        <v>2.5093301751446377E-3</v>
      </c>
      <c r="E202" s="1">
        <f t="shared" si="103"/>
        <v>59.221056673897927</v>
      </c>
      <c r="F202" s="112">
        <f>F201+$G$198</f>
        <v>9.2988624975003065E-4</v>
      </c>
      <c r="G202" s="112">
        <f t="shared" ref="G202:G265" si="105">_xlfn.NORM.DIST(F202,$AB$12,$AB$14,FALSE)</f>
        <v>15.730597575269231</v>
      </c>
      <c r="H202" s="112"/>
      <c r="I202" s="112"/>
      <c r="J202" s="112"/>
      <c r="K202" s="112"/>
      <c r="L202" s="112"/>
      <c r="M202" s="112"/>
      <c r="N202" s="112"/>
      <c r="O202" s="112"/>
      <c r="P202" s="112"/>
      <c r="Q202" s="112"/>
      <c r="R202" s="112"/>
      <c r="S202" s="112"/>
      <c r="T202" s="112"/>
      <c r="U202" s="112"/>
      <c r="V202" s="209"/>
      <c r="W202" s="209"/>
      <c r="X202" s="209"/>
      <c r="Y202" s="112"/>
      <c r="AA202" s="112"/>
      <c r="AB202" s="112">
        <v>0</v>
      </c>
      <c r="AC202" s="1">
        <f>AB31</f>
        <v>1.7365684833218993E-2</v>
      </c>
      <c r="AD202" s="112">
        <v>0</v>
      </c>
      <c r="AE202" s="112">
        <f>AB33</f>
        <v>3.6432931289839848E-2</v>
      </c>
      <c r="AF202" s="112">
        <v>0</v>
      </c>
      <c r="AG202" s="112">
        <f>AB34</f>
        <v>8.6698299317882491E-2</v>
      </c>
      <c r="AH202" s="112">
        <v>0</v>
      </c>
      <c r="AP202" s="112"/>
      <c r="AQ202" s="112"/>
      <c r="AR202" s="112"/>
      <c r="AS202" s="112"/>
      <c r="AT202" s="112"/>
      <c r="AU202" s="112"/>
    </row>
    <row r="203" spans="2:47" hidden="1" x14ac:dyDescent="0.2">
      <c r="B203" s="112"/>
      <c r="C203" s="112"/>
      <c r="D203" s="112">
        <f t="shared" si="104"/>
        <v>3.7639952627169567E-3</v>
      </c>
      <c r="E203" s="1">
        <f t="shared" si="103"/>
        <v>61.850450607770959</v>
      </c>
      <c r="F203" s="112">
        <f t="shared" ref="F203:F266" si="106">F202+$G$198</f>
        <v>1.394829374625046E-3</v>
      </c>
      <c r="G203" s="112">
        <f t="shared" si="105"/>
        <v>16.375831586482899</v>
      </c>
      <c r="H203" s="112"/>
      <c r="I203" s="112"/>
      <c r="J203" s="112"/>
      <c r="K203" s="112"/>
      <c r="L203" s="112" t="s">
        <v>76</v>
      </c>
      <c r="M203" s="112">
        <f>AE138</f>
        <v>1.8639068956024209E-2</v>
      </c>
      <c r="N203" s="112"/>
      <c r="O203" s="112"/>
      <c r="P203" s="112"/>
      <c r="Q203" s="112"/>
      <c r="R203" s="112"/>
      <c r="S203" s="112"/>
      <c r="T203" s="112"/>
      <c r="U203" s="112"/>
      <c r="V203" s="209"/>
      <c r="W203" s="209"/>
      <c r="X203" s="209"/>
      <c r="Y203" s="112"/>
      <c r="AA203" s="112"/>
      <c r="AB203" s="112">
        <f>MAX($E$201:$E$300)</f>
        <v>61.850450607770959</v>
      </c>
      <c r="AC203" s="1">
        <f>AC202</f>
        <v>1.7365684833218993E-2</v>
      </c>
      <c r="AD203" s="112">
        <f>MAX($E$201:$E$300)</f>
        <v>61.850450607770959</v>
      </c>
      <c r="AE203" s="112">
        <f>AE202</f>
        <v>3.6432931289839848E-2</v>
      </c>
      <c r="AF203" s="112">
        <f>MAX($E$201:$E$300)</f>
        <v>61.850450607770959</v>
      </c>
      <c r="AG203" s="112">
        <f>AG202</f>
        <v>8.6698299317882491E-2</v>
      </c>
      <c r="AH203" s="112">
        <f>AF203</f>
        <v>61.850450607770959</v>
      </c>
      <c r="AP203" s="112"/>
      <c r="AQ203" s="112"/>
      <c r="AR203" s="112"/>
      <c r="AS203" s="112"/>
      <c r="AT203" s="112"/>
      <c r="AU203" s="112"/>
    </row>
    <row r="204" spans="2:47" hidden="1" x14ac:dyDescent="0.2">
      <c r="B204" s="112"/>
      <c r="C204" s="112"/>
      <c r="D204" s="112">
        <f t="shared" si="104"/>
        <v>5.0186603502892753E-3</v>
      </c>
      <c r="E204" s="1">
        <f t="shared" si="103"/>
        <v>58.36087301223607</v>
      </c>
      <c r="F204" s="112">
        <f t="shared" si="106"/>
        <v>1.8597724995000613E-3</v>
      </c>
      <c r="G204" s="112">
        <f t="shared" si="105"/>
        <v>17.026050645053342</v>
      </c>
      <c r="H204" s="112"/>
      <c r="I204" s="112"/>
      <c r="J204" s="112"/>
      <c r="K204" s="112"/>
      <c r="L204" s="112" t="s">
        <v>77</v>
      </c>
      <c r="M204" s="112">
        <f>$M$203*EXP(-TINV(0.1,$AB$6-1)*($AB$16/SQRT($AB$6)))</f>
        <v>1.0449130900756007E-2</v>
      </c>
      <c r="N204" s="112"/>
      <c r="O204" s="112"/>
      <c r="P204" s="112"/>
      <c r="Q204" s="112"/>
      <c r="R204" s="112"/>
      <c r="S204" s="112"/>
      <c r="T204" s="112"/>
      <c r="U204" s="112"/>
      <c r="V204" s="209"/>
      <c r="W204" s="209"/>
      <c r="X204" s="209"/>
      <c r="Y204" s="112"/>
      <c r="AA204" s="112"/>
      <c r="AB204" s="112"/>
      <c r="AC204" s="1"/>
      <c r="AP204" s="112"/>
      <c r="AQ204" s="112"/>
      <c r="AR204" s="112"/>
      <c r="AS204" s="112"/>
      <c r="AT204" s="112"/>
      <c r="AU204" s="112"/>
    </row>
    <row r="205" spans="2:47" hidden="1" x14ac:dyDescent="0.2">
      <c r="B205" s="112"/>
      <c r="C205" s="112"/>
      <c r="D205" s="112">
        <f t="shared" si="104"/>
        <v>6.2733254378615939E-3</v>
      </c>
      <c r="E205" s="1">
        <f t="shared" si="103"/>
        <v>53.026082049535162</v>
      </c>
      <c r="F205" s="112">
        <f t="shared" si="106"/>
        <v>2.3247156243750766E-3</v>
      </c>
      <c r="G205" s="112">
        <f t="shared" si="105"/>
        <v>17.679781517845619</v>
      </c>
      <c r="H205" s="112"/>
      <c r="I205" s="112"/>
      <c r="J205" s="112"/>
      <c r="K205" s="112"/>
      <c r="L205" s="112" t="s">
        <v>78</v>
      </c>
      <c r="M205" s="112">
        <f>$M$203*EXP(TINV(0.1,$AB$6-1)*($AB$16/SQRT($AB$6)))</f>
        <v>3.3248209334069072E-2</v>
      </c>
      <c r="N205" s="112"/>
      <c r="O205" s="112"/>
      <c r="P205" s="112"/>
      <c r="Q205" s="112"/>
      <c r="R205" s="112"/>
      <c r="S205" s="112"/>
      <c r="T205" s="112"/>
      <c r="U205" s="112"/>
      <c r="V205" s="209"/>
      <c r="W205" s="209"/>
      <c r="X205" s="209"/>
      <c r="Y205" s="112"/>
      <c r="AA205" s="112"/>
      <c r="AB205" s="112" t="s">
        <v>244</v>
      </c>
      <c r="AC205" s="1"/>
      <c r="AP205" s="112"/>
      <c r="AQ205" s="112"/>
      <c r="AR205" s="112"/>
      <c r="AS205" s="112"/>
      <c r="AT205" s="112"/>
      <c r="AU205" s="112"/>
    </row>
    <row r="206" spans="2:47" hidden="1" x14ac:dyDescent="0.2">
      <c r="B206" s="112"/>
      <c r="C206" s="112"/>
      <c r="D206" s="112">
        <f t="shared" si="104"/>
        <v>7.5279905254339126E-3</v>
      </c>
      <c r="E206" s="1">
        <f t="shared" si="103"/>
        <v>47.441761887034666</v>
      </c>
      <c r="F206" s="112">
        <f t="shared" si="106"/>
        <v>2.7896587492500921E-3</v>
      </c>
      <c r="G206" s="112">
        <f t="shared" si="105"/>
        <v>18.335479927930393</v>
      </c>
      <c r="H206" s="112"/>
      <c r="I206" s="112"/>
      <c r="J206" s="112"/>
      <c r="K206" s="112"/>
      <c r="L206" s="112"/>
      <c r="M206" s="112"/>
      <c r="N206" s="112"/>
      <c r="O206" s="112"/>
      <c r="P206" s="112"/>
      <c r="Q206" s="112"/>
      <c r="R206" s="112"/>
      <c r="S206" s="112"/>
      <c r="T206" s="112"/>
      <c r="U206" s="112"/>
      <c r="V206" s="209"/>
      <c r="W206" s="209"/>
      <c r="X206" s="209"/>
      <c r="Y206" s="112"/>
      <c r="AA206" s="112"/>
      <c r="AB206" s="112"/>
      <c r="AC206" s="1" t="s">
        <v>73</v>
      </c>
      <c r="AE206" s="112" t="s">
        <v>74</v>
      </c>
      <c r="AG206" s="112" t="s">
        <v>247</v>
      </c>
      <c r="AP206" s="112"/>
      <c r="AQ206" s="112"/>
      <c r="AR206" s="112"/>
      <c r="AS206" s="112"/>
      <c r="AT206" s="112"/>
      <c r="AU206" s="112"/>
    </row>
    <row r="207" spans="2:47" hidden="1" x14ac:dyDescent="0.2">
      <c r="B207" s="112"/>
      <c r="C207" s="112"/>
      <c r="D207" s="112">
        <f t="shared" si="104"/>
        <v>8.7826556130062312E-3</v>
      </c>
      <c r="E207" s="1">
        <f t="shared" si="103"/>
        <v>42.194644944531674</v>
      </c>
      <c r="F207" s="112">
        <f t="shared" si="106"/>
        <v>3.2546018741251076E-3</v>
      </c>
      <c r="G207" s="112">
        <f t="shared" si="105"/>
        <v>18.991535757450933</v>
      </c>
      <c r="H207" s="112"/>
      <c r="I207" s="112"/>
      <c r="J207" s="112"/>
      <c r="K207" s="112"/>
      <c r="L207" s="112"/>
      <c r="M207" s="112"/>
      <c r="N207" s="112"/>
      <c r="O207" s="112"/>
      <c r="P207" s="112"/>
      <c r="Q207" s="112"/>
      <c r="R207" s="112"/>
      <c r="S207" s="112"/>
      <c r="T207" s="112"/>
      <c r="U207" s="112"/>
      <c r="V207" s="209"/>
      <c r="W207" s="209"/>
      <c r="X207" s="209"/>
      <c r="Y207" s="112"/>
      <c r="AA207" s="112"/>
      <c r="AB207" s="112"/>
      <c r="AC207" s="1"/>
      <c r="AP207" s="112"/>
      <c r="AQ207" s="112"/>
      <c r="AR207" s="112"/>
      <c r="AS207" s="112"/>
      <c r="AT207" s="112"/>
      <c r="AU207" s="112"/>
    </row>
    <row r="208" spans="2:47" hidden="1" x14ac:dyDescent="0.2">
      <c r="B208" s="112"/>
      <c r="C208" s="112"/>
      <c r="D208" s="112">
        <f t="shared" si="104"/>
        <v>1.0037320700578551E-2</v>
      </c>
      <c r="E208" s="1">
        <f t="shared" si="103"/>
        <v>37.473585533489818</v>
      </c>
      <c r="F208" s="112">
        <f t="shared" si="106"/>
        <v>3.7195449990001231E-3</v>
      </c>
      <c r="G208" s="112">
        <f t="shared" si="105"/>
        <v>19.646278869122192</v>
      </c>
      <c r="H208" s="112"/>
      <c r="I208" s="112"/>
      <c r="J208" s="112"/>
      <c r="K208" s="112"/>
      <c r="L208" s="112"/>
      <c r="M208" s="112"/>
      <c r="N208" s="112"/>
      <c r="O208" s="112"/>
      <c r="P208" s="112"/>
      <c r="Q208" s="112"/>
      <c r="R208" s="112"/>
      <c r="S208" s="112"/>
      <c r="T208" s="112"/>
      <c r="U208" s="112"/>
      <c r="V208" s="209"/>
      <c r="W208" s="209"/>
      <c r="X208" s="209"/>
      <c r="Y208" s="112"/>
      <c r="AA208" s="112"/>
      <c r="AB208" s="112" t="s">
        <v>18</v>
      </c>
      <c r="AC208" s="1" t="s">
        <v>7</v>
      </c>
      <c r="AD208" s="112" t="s">
        <v>18</v>
      </c>
      <c r="AE208" s="112" t="s">
        <v>7</v>
      </c>
      <c r="AF208" s="112" t="s">
        <v>18</v>
      </c>
      <c r="AG208" s="112" t="s">
        <v>7</v>
      </c>
      <c r="AH208" s="112" t="s">
        <v>18</v>
      </c>
      <c r="AP208" s="112"/>
      <c r="AQ208" s="112"/>
      <c r="AR208" s="112"/>
      <c r="AS208" s="112"/>
      <c r="AT208" s="112"/>
      <c r="AU208" s="112"/>
    </row>
    <row r="209" spans="2:47" hidden="1" x14ac:dyDescent="0.2">
      <c r="B209" s="112"/>
      <c r="C209" s="112"/>
      <c r="D209" s="112">
        <f t="shared" si="104"/>
        <v>1.129198578815087E-2</v>
      </c>
      <c r="E209" s="1">
        <f t="shared" si="103"/>
        <v>33.307322610230855</v>
      </c>
      <c r="F209" s="112">
        <f t="shared" si="106"/>
        <v>4.1844881238751385E-3</v>
      </c>
      <c r="G209" s="112">
        <f t="shared" si="105"/>
        <v>20.29798552450012</v>
      </c>
      <c r="H209" s="112"/>
      <c r="I209" s="112"/>
      <c r="J209" s="112"/>
      <c r="K209" s="112" t="s">
        <v>79</v>
      </c>
      <c r="L209" s="112"/>
      <c r="M209" s="112"/>
      <c r="N209" s="112"/>
      <c r="O209" s="112"/>
      <c r="P209" s="112"/>
      <c r="Q209" s="112"/>
      <c r="R209" s="112"/>
      <c r="S209" s="112"/>
      <c r="T209" s="112"/>
      <c r="U209" s="112"/>
      <c r="V209" s="209"/>
      <c r="W209" s="209"/>
      <c r="X209" s="209"/>
      <c r="Y209" s="112"/>
      <c r="AA209" s="112"/>
      <c r="AB209" s="112">
        <v>0</v>
      </c>
      <c r="AC209" s="276">
        <f>AB38</f>
        <v>2.0457033409089678E-2</v>
      </c>
      <c r="AD209" s="112">
        <v>0</v>
      </c>
      <c r="AE209" s="188">
        <f>AB40</f>
        <v>3.8910705195799408E-2</v>
      </c>
      <c r="AF209" s="112">
        <v>0</v>
      </c>
      <c r="AG209" s="188">
        <f>AB41</f>
        <v>3.4755244661796775E-2</v>
      </c>
      <c r="AH209" s="112">
        <v>0</v>
      </c>
      <c r="AP209" s="112"/>
      <c r="AQ209" s="112"/>
      <c r="AR209" s="112"/>
      <c r="AS209" s="112"/>
      <c r="AT209" s="112"/>
      <c r="AU209" s="112"/>
    </row>
    <row r="210" spans="2:47" hidden="1" x14ac:dyDescent="0.2">
      <c r="B210" s="112"/>
      <c r="C210" s="112"/>
      <c r="D210" s="112">
        <f t="shared" si="104"/>
        <v>1.254665087572319E-2</v>
      </c>
      <c r="E210" s="1">
        <f t="shared" si="103"/>
        <v>29.662025992547882</v>
      </c>
      <c r="F210" s="112">
        <f t="shared" si="106"/>
        <v>4.649431248750154E-3</v>
      </c>
      <c r="G210" s="112">
        <f t="shared" si="105"/>
        <v>20.944885371009551</v>
      </c>
      <c r="H210" s="112"/>
      <c r="I210" s="112"/>
      <c r="J210" s="112"/>
      <c r="K210" s="112"/>
      <c r="L210" s="112" t="s">
        <v>80</v>
      </c>
      <c r="M210" s="112">
        <f>IF(AB16&lt;0.01,0.01,AB16)</f>
        <v>1.0590389472267157</v>
      </c>
      <c r="N210" s="112"/>
      <c r="O210" s="112"/>
      <c r="P210" s="112"/>
      <c r="Q210" s="112" t="s">
        <v>81</v>
      </c>
      <c r="R210" s="112"/>
      <c r="S210" s="112"/>
      <c r="T210" s="112"/>
      <c r="U210" s="112" t="s">
        <v>82</v>
      </c>
      <c r="V210" s="209"/>
      <c r="W210" s="209"/>
      <c r="X210" s="209"/>
      <c r="Y210" s="112"/>
      <c r="AA210" s="112"/>
      <c r="AB210" s="112">
        <f>MAX($G$201:$G$300)</f>
        <v>30.465181005908718</v>
      </c>
      <c r="AC210" s="1">
        <f>AC209</f>
        <v>2.0457033409089678E-2</v>
      </c>
      <c r="AD210" s="112">
        <f>MAX($G$201:$G$300)</f>
        <v>30.465181005908718</v>
      </c>
      <c r="AE210" s="112">
        <f>AE209</f>
        <v>3.8910705195799408E-2</v>
      </c>
      <c r="AF210" s="112">
        <f>MAX($G$201:$G$300)</f>
        <v>30.465181005908718</v>
      </c>
      <c r="AG210" s="112">
        <f>AG209</f>
        <v>3.4755244661796775E-2</v>
      </c>
      <c r="AH210" s="112">
        <f>AF210</f>
        <v>30.465181005908718</v>
      </c>
      <c r="AP210" s="112"/>
      <c r="AQ210" s="112"/>
      <c r="AR210" s="112"/>
      <c r="AS210" s="112"/>
      <c r="AT210" s="112"/>
      <c r="AU210" s="112"/>
    </row>
    <row r="211" spans="2:47" hidden="1" x14ac:dyDescent="0.2">
      <c r="B211" s="112"/>
      <c r="C211" s="112"/>
      <c r="D211" s="112">
        <f t="shared" si="104"/>
        <v>1.3801315963295509E-2</v>
      </c>
      <c r="E211" s="1">
        <f t="shared" si="103"/>
        <v>26.48260640334723</v>
      </c>
      <c r="F211" s="112">
        <f t="shared" si="106"/>
        <v>5.1143743736251695E-3</v>
      </c>
      <c r="G211" s="112">
        <f t="shared" si="105"/>
        <v>21.585168963636217</v>
      </c>
      <c r="H211" s="112"/>
      <c r="I211" s="112"/>
      <c r="J211" s="112"/>
      <c r="K211" s="112"/>
      <c r="L211" s="112" t="s">
        <v>83</v>
      </c>
      <c r="M211" s="112">
        <f>IF(M210&gt;4,4,M210)</f>
        <v>1.0590389472267157</v>
      </c>
      <c r="N211" s="112"/>
      <c r="O211" s="112"/>
      <c r="P211" s="112" t="s">
        <v>84</v>
      </c>
      <c r="Q211" s="112">
        <v>-0.85033767000000005</v>
      </c>
      <c r="R211" s="112"/>
      <c r="S211" s="112"/>
      <c r="T211" s="112"/>
      <c r="U211" s="112">
        <v>0.76766657999999999</v>
      </c>
      <c r="V211" s="209"/>
      <c r="W211" s="209"/>
      <c r="X211" s="209"/>
      <c r="Y211" s="112"/>
      <c r="AA211" s="112"/>
      <c r="AB211" s="112"/>
      <c r="AC211" s="1"/>
      <c r="AP211" s="112"/>
      <c r="AQ211" s="112"/>
      <c r="AR211" s="112"/>
      <c r="AS211" s="112"/>
      <c r="AT211" s="112"/>
      <c r="AU211" s="112"/>
    </row>
    <row r="212" spans="2:47" hidden="1" x14ac:dyDescent="0.2">
      <c r="B212" s="112"/>
      <c r="C212" s="112"/>
      <c r="D212" s="112">
        <f t="shared" si="104"/>
        <v>1.5055981050867829E-2</v>
      </c>
      <c r="E212" s="1">
        <f t="shared" si="103"/>
        <v>23.710275075935144</v>
      </c>
      <c r="F212" s="112">
        <f t="shared" si="106"/>
        <v>5.579317498500185E-3</v>
      </c>
      <c r="G212" s="112">
        <f t="shared" si="105"/>
        <v>22.216995781245483</v>
      </c>
      <c r="H212" s="112"/>
      <c r="I212" s="112"/>
      <c r="J212" s="112"/>
      <c r="K212" s="112"/>
      <c r="L212" s="112" t="s">
        <v>85</v>
      </c>
      <c r="M212" s="112">
        <f>AB6</f>
        <v>11</v>
      </c>
      <c r="N212" s="112"/>
      <c r="O212" s="112"/>
      <c r="P212" s="112" t="s">
        <v>86</v>
      </c>
      <c r="Q212" s="112">
        <v>-0.52580519999999997</v>
      </c>
      <c r="R212" s="112"/>
      <c r="S212" s="112"/>
      <c r="T212" s="112"/>
      <c r="U212" s="112">
        <v>3.8716868999999998</v>
      </c>
      <c r="V212" s="209"/>
      <c r="W212" s="209"/>
      <c r="X212" s="209"/>
      <c r="Y212" s="112"/>
      <c r="AA212" s="112"/>
      <c r="AB212" s="112"/>
      <c r="AC212" s="1"/>
      <c r="AP212" s="112"/>
      <c r="AQ212" s="112"/>
      <c r="AR212" s="112"/>
      <c r="AS212" s="112"/>
      <c r="AT212" s="112"/>
      <c r="AU212" s="112"/>
    </row>
    <row r="213" spans="2:47" hidden="1" x14ac:dyDescent="0.2">
      <c r="B213" s="112"/>
      <c r="C213" s="112"/>
      <c r="D213" s="112">
        <f t="shared" si="104"/>
        <v>1.6310646138440146E-2</v>
      </c>
      <c r="E213" s="1">
        <f t="shared" si="103"/>
        <v>21.289713043084401</v>
      </c>
      <c r="F213" s="112">
        <f t="shared" si="106"/>
        <v>6.0442606233752005E-3</v>
      </c>
      <c r="G213" s="112">
        <f t="shared" si="105"/>
        <v>22.838502691760215</v>
      </c>
      <c r="H213" s="112"/>
      <c r="I213" s="112"/>
      <c r="J213" s="112"/>
      <c r="K213" s="112"/>
      <c r="L213" s="112" t="s">
        <v>87</v>
      </c>
      <c r="M213" s="112">
        <v>0.05</v>
      </c>
      <c r="N213" s="112"/>
      <c r="O213" s="112"/>
      <c r="P213" s="112" t="s">
        <v>88</v>
      </c>
      <c r="Q213" s="112">
        <v>0.92416176000000005</v>
      </c>
      <c r="R213" s="112"/>
      <c r="S213" s="112"/>
      <c r="T213" s="112"/>
      <c r="U213" s="112">
        <v>0.80598919000000002</v>
      </c>
      <c r="V213" s="209"/>
      <c r="W213" s="209"/>
      <c r="X213" s="209"/>
      <c r="Y213" s="112"/>
      <c r="AA213" s="112"/>
      <c r="AB213" s="112"/>
      <c r="AC213" s="1"/>
      <c r="AP213" s="112"/>
      <c r="AQ213" s="112"/>
      <c r="AR213" s="112"/>
      <c r="AS213" s="112"/>
      <c r="AT213" s="112"/>
      <c r="AU213" s="112"/>
    </row>
    <row r="214" spans="2:47" hidden="1" x14ac:dyDescent="0.2">
      <c r="B214" s="112"/>
      <c r="C214" s="112"/>
      <c r="D214" s="112">
        <f t="shared" si="104"/>
        <v>1.7565311226012466E-2</v>
      </c>
      <c r="E214" s="1">
        <f t="shared" si="103"/>
        <v>19.171617417313879</v>
      </c>
      <c r="F214" s="112">
        <f t="shared" si="106"/>
        <v>6.509203748250216E-3</v>
      </c>
      <c r="G214" s="112">
        <f t="shared" si="105"/>
        <v>23.44781281498534</v>
      </c>
      <c r="H214" s="112"/>
      <c r="I214" s="112"/>
      <c r="J214" s="112"/>
      <c r="K214" s="112"/>
      <c r="L214" s="112" t="s">
        <v>89</v>
      </c>
      <c r="M214" s="112">
        <v>0.95</v>
      </c>
      <c r="N214" s="112"/>
      <c r="O214" s="112"/>
      <c r="P214" s="112" t="s">
        <v>90</v>
      </c>
      <c r="Q214" s="112">
        <v>3.3298209000000001</v>
      </c>
      <c r="R214" s="112"/>
      <c r="S214" s="112"/>
      <c r="T214" s="112"/>
      <c r="U214" s="112">
        <v>6.0321018999999998</v>
      </c>
      <c r="V214" s="209"/>
      <c r="W214" s="209"/>
      <c r="X214" s="209"/>
      <c r="Y214" s="112"/>
      <c r="AA214" s="112"/>
      <c r="AB214" s="112"/>
      <c r="AC214" s="1"/>
      <c r="AP214" s="112"/>
      <c r="AQ214" s="112"/>
      <c r="AR214" s="112"/>
      <c r="AS214" s="112"/>
      <c r="AT214" s="112"/>
      <c r="AU214" s="112"/>
    </row>
    <row r="215" spans="2:47" hidden="1" x14ac:dyDescent="0.2">
      <c r="B215" s="112"/>
      <c r="C215" s="112"/>
      <c r="D215" s="112">
        <f t="shared" si="104"/>
        <v>1.8819976313584785E-2</v>
      </c>
      <c r="E215" s="1">
        <f t="shared" si="103"/>
        <v>17.31320473926128</v>
      </c>
      <c r="F215" s="112">
        <f t="shared" si="106"/>
        <v>6.9741468731252315E-3</v>
      </c>
      <c r="G215" s="112">
        <f t="shared" si="105"/>
        <v>24.043044726779691</v>
      </c>
      <c r="H215" s="112"/>
      <c r="I215" s="112"/>
      <c r="J215" s="112"/>
      <c r="K215" s="112"/>
      <c r="L215" s="112" t="s">
        <v>91</v>
      </c>
      <c r="M215" s="112">
        <f>M203</f>
        <v>1.8639068956024209E-2</v>
      </c>
      <c r="N215" s="112"/>
      <c r="O215" s="112"/>
      <c r="P215" s="112" t="s">
        <v>92</v>
      </c>
      <c r="Q215" s="112">
        <v>0.94348567999999999</v>
      </c>
      <c r="R215" s="112"/>
      <c r="S215" s="112"/>
      <c r="T215" s="112"/>
      <c r="U215" s="112">
        <v>0.89998153999999997</v>
      </c>
      <c r="V215" s="209"/>
      <c r="W215" s="209"/>
      <c r="X215" s="209"/>
      <c r="Y215" s="112"/>
      <c r="AA215" s="112"/>
      <c r="AB215" s="112"/>
      <c r="AP215" s="112"/>
      <c r="AQ215" s="112"/>
      <c r="AR215" s="112"/>
      <c r="AS215" s="112"/>
      <c r="AT215" s="112"/>
      <c r="AU215" s="112"/>
    </row>
    <row r="216" spans="2:47" hidden="1" x14ac:dyDescent="0.2">
      <c r="B216" s="112"/>
      <c r="C216" s="112"/>
      <c r="D216" s="112">
        <f t="shared" si="104"/>
        <v>2.0074641401157105E-2</v>
      </c>
      <c r="E216" s="1">
        <f t="shared" si="103"/>
        <v>15.677851985885667</v>
      </c>
      <c r="F216" s="112">
        <f t="shared" si="106"/>
        <v>7.439089998000247E-3</v>
      </c>
      <c r="G216" s="112">
        <f t="shared" si="105"/>
        <v>24.622321943614253</v>
      </c>
      <c r="H216" s="112"/>
      <c r="I216" s="112"/>
      <c r="J216" s="112"/>
      <c r="K216" s="112"/>
      <c r="L216" s="112" t="s">
        <v>93</v>
      </c>
      <c r="M216" s="112">
        <f>M210*(SQRT((M212-1)/M212))</f>
        <v>1.0097540167347105</v>
      </c>
      <c r="N216" s="112"/>
      <c r="O216" s="112"/>
      <c r="P216" s="112" t="s">
        <v>94</v>
      </c>
      <c r="Q216" s="112">
        <v>1.3213280999999999</v>
      </c>
      <c r="R216" s="112"/>
      <c r="S216" s="112"/>
      <c r="T216" s="112"/>
      <c r="U216" s="112">
        <v>2.0126689999999998</v>
      </c>
      <c r="V216" s="209"/>
      <c r="W216" s="209"/>
      <c r="X216" s="209"/>
      <c r="Y216" s="112"/>
      <c r="AA216" s="112"/>
      <c r="AB216" s="112"/>
      <c r="AP216" s="112"/>
      <c r="AQ216" s="112"/>
      <c r="AR216" s="112"/>
      <c r="AS216" s="112"/>
      <c r="AT216" s="112"/>
      <c r="AU216" s="112"/>
    </row>
    <row r="217" spans="2:47" hidden="1" x14ac:dyDescent="0.2">
      <c r="B217" s="112"/>
      <c r="C217" s="112"/>
      <c r="D217" s="112">
        <f t="shared" si="104"/>
        <v>2.1329306488729424E-2</v>
      </c>
      <c r="E217" s="1">
        <f t="shared" si="103"/>
        <v>14.234419517534311</v>
      </c>
      <c r="F217" s="112">
        <f t="shared" si="106"/>
        <v>7.9040331228752616E-3</v>
      </c>
      <c r="G217" s="112">
        <f t="shared" si="105"/>
        <v>25.18378262238727</v>
      </c>
      <c r="H217" s="112"/>
      <c r="I217" s="112"/>
      <c r="J217" s="112"/>
      <c r="K217" s="112"/>
      <c r="L217" s="112" t="s">
        <v>95</v>
      </c>
      <c r="M217" s="112">
        <f>IF(M212&gt;2,O225,O224)</f>
        <v>-1.7002092654016558</v>
      </c>
      <c r="N217" s="112"/>
      <c r="O217" s="112"/>
      <c r="P217" s="112" t="s">
        <v>96</v>
      </c>
      <c r="Q217" s="112">
        <v>0.81555619999999995</v>
      </c>
      <c r="R217" s="112"/>
      <c r="S217" s="112"/>
      <c r="T217" s="112"/>
      <c r="U217" s="112">
        <v>0.21978875</v>
      </c>
      <c r="V217" s="209"/>
      <c r="W217" s="209"/>
      <c r="X217" s="209"/>
      <c r="Y217" s="112"/>
      <c r="AA217" s="112"/>
      <c r="AB217" s="112"/>
      <c r="AP217" s="112"/>
      <c r="AQ217" s="112"/>
      <c r="AR217" s="112"/>
      <c r="AS217" s="112"/>
      <c r="AT217" s="112"/>
      <c r="AU217" s="112"/>
    </row>
    <row r="218" spans="2:47" hidden="1" x14ac:dyDescent="0.2">
      <c r="B218" s="112"/>
      <c r="C218" s="112"/>
      <c r="D218" s="112">
        <f t="shared" si="104"/>
        <v>2.2583971576301744E-2</v>
      </c>
      <c r="E218" s="1">
        <f t="shared" si="103"/>
        <v>12.956503611792856</v>
      </c>
      <c r="F218" s="112">
        <f t="shared" si="106"/>
        <v>8.3689762477502771E-3</v>
      </c>
      <c r="G218" s="112">
        <f t="shared" si="105"/>
        <v>25.725589406750828</v>
      </c>
      <c r="H218" s="112"/>
      <c r="I218" s="112"/>
      <c r="J218" s="112"/>
      <c r="K218" s="112"/>
      <c r="L218" s="112" t="s">
        <v>97</v>
      </c>
      <c r="M218" s="112">
        <f>IF(M212&gt;2,M225,M224)</f>
        <v>3.082661345758074</v>
      </c>
      <c r="N218" s="112"/>
      <c r="O218" s="112"/>
      <c r="P218" s="112" t="s">
        <v>98</v>
      </c>
      <c r="Q218" s="112">
        <v>-1.0181480000000001</v>
      </c>
      <c r="R218" s="112"/>
      <c r="S218" s="112"/>
      <c r="T218" s="112"/>
      <c r="U218" s="112">
        <v>0.41575588000000002</v>
      </c>
      <c r="V218" s="209"/>
      <c r="W218" s="209"/>
      <c r="X218" s="209"/>
      <c r="Y218" s="112"/>
      <c r="AA218" s="112"/>
      <c r="AB218" s="112"/>
      <c r="AP218" s="112"/>
      <c r="AQ218" s="112"/>
      <c r="AR218" s="112"/>
      <c r="AS218" s="112"/>
      <c r="AT218" s="112"/>
      <c r="AU218" s="112"/>
    </row>
    <row r="219" spans="2:47" hidden="1" x14ac:dyDescent="0.2">
      <c r="B219" s="112"/>
      <c r="C219" s="112"/>
      <c r="D219" s="112">
        <f t="shared" si="104"/>
        <v>2.3838636663874063E-2</v>
      </c>
      <c r="E219" s="1">
        <f t="shared" si="103"/>
        <v>11.821725951085739</v>
      </c>
      <c r="F219" s="112">
        <f t="shared" si="106"/>
        <v>8.8339193726252926E-3</v>
      </c>
      <c r="G219" s="112">
        <f t="shared" si="105"/>
        <v>26.24593934819719</v>
      </c>
      <c r="H219" s="112"/>
      <c r="I219" s="112"/>
      <c r="J219" s="112"/>
      <c r="K219" s="112"/>
      <c r="L219" s="112" t="s">
        <v>99</v>
      </c>
      <c r="M219" s="112">
        <f>EXP((LN(M215))+(M217*(M210/(SQRT(M212-1)))))</f>
        <v>1.0547237656640814E-2</v>
      </c>
      <c r="N219" s="112"/>
      <c r="O219" s="112"/>
      <c r="P219" s="112" t="s">
        <v>100</v>
      </c>
      <c r="Q219" s="112">
        <v>0.25248894999999999</v>
      </c>
      <c r="R219" s="112"/>
      <c r="S219" s="112"/>
      <c r="T219" s="112"/>
      <c r="U219" s="112">
        <v>0.29258276</v>
      </c>
      <c r="V219" s="209"/>
      <c r="W219" s="209"/>
      <c r="X219" s="209"/>
      <c r="Y219" s="112"/>
      <c r="AA219" s="112"/>
      <c r="AB219" s="112"/>
      <c r="AP219" s="112"/>
      <c r="AQ219" s="112"/>
      <c r="AR219" s="112"/>
      <c r="AS219" s="112"/>
      <c r="AT219" s="112"/>
      <c r="AU219" s="112"/>
    </row>
    <row r="220" spans="2:47" hidden="1" x14ac:dyDescent="0.2">
      <c r="B220" s="112"/>
      <c r="C220" s="112"/>
      <c r="D220" s="112">
        <f t="shared" si="104"/>
        <v>2.5093301751446383E-2</v>
      </c>
      <c r="E220" s="1">
        <f t="shared" si="103"/>
        <v>10.81110099382734</v>
      </c>
      <c r="F220" s="112">
        <f t="shared" si="106"/>
        <v>9.2988624975003081E-3</v>
      </c>
      <c r="G220" s="112">
        <f t="shared" si="105"/>
        <v>26.743073827805588</v>
      </c>
      <c r="H220" s="112"/>
      <c r="I220" s="112"/>
      <c r="J220" s="112"/>
      <c r="K220" s="112"/>
      <c r="L220" s="112" t="s">
        <v>101</v>
      </c>
      <c r="M220" s="112">
        <f>EXP((LN(M215))+(M218*(M210/(SQRT(M212-1)))))</f>
        <v>5.233343714002734E-2</v>
      </c>
      <c r="N220" s="112"/>
      <c r="O220" s="112"/>
      <c r="P220" s="112"/>
      <c r="Q220" s="112"/>
      <c r="R220" s="112"/>
      <c r="S220" s="112"/>
      <c r="T220" s="112"/>
      <c r="U220" s="112"/>
      <c r="V220" s="209"/>
      <c r="W220" s="209"/>
      <c r="X220" s="209"/>
      <c r="Y220" s="112"/>
      <c r="AA220" s="112"/>
      <c r="AB220" s="112"/>
      <c r="AP220" s="112"/>
      <c r="AQ220" s="112"/>
      <c r="AR220" s="112"/>
      <c r="AS220" s="112"/>
      <c r="AT220" s="112"/>
      <c r="AU220" s="112"/>
    </row>
    <row r="221" spans="2:47" hidden="1" x14ac:dyDescent="0.2">
      <c r="B221" s="112"/>
      <c r="C221" s="112"/>
      <c r="D221" s="112">
        <f t="shared" si="104"/>
        <v>2.6347966839018702E-2</v>
      </c>
      <c r="E221" s="1">
        <f t="shared" si="103"/>
        <v>9.9084912241593983</v>
      </c>
      <c r="F221" s="112">
        <f t="shared" si="106"/>
        <v>9.7638056223753236E-3</v>
      </c>
      <c r="G221" s="112">
        <f t="shared" si="105"/>
        <v>27.215288402903457</v>
      </c>
      <c r="H221" s="112"/>
      <c r="I221" s="112"/>
      <c r="J221" s="112"/>
      <c r="K221" s="112"/>
      <c r="L221" s="112"/>
      <c r="M221" s="112"/>
      <c r="N221" s="112"/>
      <c r="O221" s="112"/>
      <c r="P221" s="112" t="s">
        <v>102</v>
      </c>
      <c r="Q221" s="112">
        <f>Q211/(((M212-2)^Q213))+Q212</f>
        <v>-0.63741876546603149</v>
      </c>
      <c r="R221" s="112"/>
      <c r="S221" s="112"/>
      <c r="T221" s="112"/>
      <c r="U221" s="112">
        <f>M211*(U219+(1/((M212-2)^U213)))</f>
        <v>0.49007645489164664</v>
      </c>
      <c r="V221" s="209"/>
      <c r="W221" s="209"/>
      <c r="X221" s="209"/>
      <c r="Y221" s="112"/>
      <c r="AA221" s="112"/>
      <c r="AB221" s="112"/>
      <c r="AP221" s="112"/>
      <c r="AQ221" s="112"/>
      <c r="AR221" s="112"/>
      <c r="AS221" s="112"/>
      <c r="AT221" s="112"/>
      <c r="AU221" s="112"/>
    </row>
    <row r="222" spans="2:47" hidden="1" x14ac:dyDescent="0.2">
      <c r="B222" s="112"/>
      <c r="C222" s="112"/>
      <c r="D222" s="112">
        <f t="shared" si="104"/>
        <v>2.7602631926591022E-2</v>
      </c>
      <c r="E222" s="1">
        <f t="shared" si="103"/>
        <v>9.1001465606150838</v>
      </c>
      <c r="F222" s="112">
        <f t="shared" si="106"/>
        <v>1.0228748747250339E-2</v>
      </c>
      <c r="G222" s="112">
        <f t="shared" si="105"/>
        <v>27.66094250198498</v>
      </c>
      <c r="H222" s="112"/>
      <c r="I222" s="112"/>
      <c r="J222" s="112"/>
      <c r="K222" s="112"/>
      <c r="L222" s="112"/>
      <c r="M222" s="112"/>
      <c r="N222" s="112"/>
      <c r="O222" s="112"/>
      <c r="P222" s="112" t="s">
        <v>103</v>
      </c>
      <c r="Q222" s="112">
        <f>Q214/(((M212-2)^Q216))+Q215</f>
        <v>1.1261078222385095</v>
      </c>
      <c r="R222" s="112"/>
      <c r="S222" s="112"/>
      <c r="T222" s="112"/>
      <c r="U222" s="112">
        <f>U212+(U214/((M212-2)^U213))</f>
        <v>4.8981882436759081</v>
      </c>
      <c r="V222" s="209"/>
      <c r="W222" s="209"/>
      <c r="X222" s="209"/>
      <c r="Y222" s="112"/>
      <c r="AA222" s="112"/>
      <c r="AB222" s="112"/>
      <c r="AP222" s="112"/>
      <c r="AQ222" s="112"/>
      <c r="AR222" s="112"/>
      <c r="AS222" s="112"/>
      <c r="AT222" s="112"/>
      <c r="AU222" s="112"/>
    </row>
    <row r="223" spans="2:47" hidden="1" x14ac:dyDescent="0.2">
      <c r="B223" s="112"/>
      <c r="C223" s="112"/>
      <c r="D223" s="112">
        <f t="shared" si="104"/>
        <v>2.8857297014163341E-2</v>
      </c>
      <c r="E223" s="1">
        <f t="shared" si="103"/>
        <v>8.3743188203165762</v>
      </c>
      <c r="F223" s="112">
        <f t="shared" si="106"/>
        <v>1.0693691872125355E-2</v>
      </c>
      <c r="G223" s="112">
        <f t="shared" si="105"/>
        <v>28.078468891080067</v>
      </c>
      <c r="H223" s="112"/>
      <c r="I223" s="112"/>
      <c r="J223" s="112"/>
      <c r="K223" s="112"/>
      <c r="L223" s="112" t="s">
        <v>44</v>
      </c>
      <c r="M223" s="112" t="s">
        <v>104</v>
      </c>
      <c r="N223" s="112" t="s">
        <v>44</v>
      </c>
      <c r="O223" s="112" t="s">
        <v>105</v>
      </c>
      <c r="P223" s="112" t="s">
        <v>106</v>
      </c>
      <c r="Q223" s="112">
        <f>Q217/(((M212-2)^Q219))+Q218</f>
        <v>-0.54985441949320379</v>
      </c>
      <c r="R223" s="112"/>
      <c r="S223" s="112"/>
      <c r="T223" s="112"/>
      <c r="U223" s="112">
        <f>U221*(1-(U215*EXP(-U216*U221)))</f>
        <v>0.32559156784061938</v>
      </c>
      <c r="V223" s="209"/>
      <c r="W223" s="209"/>
      <c r="X223" s="209"/>
      <c r="Y223" s="112"/>
      <c r="AA223" s="112"/>
      <c r="AB223" s="112"/>
      <c r="AP223" s="112"/>
      <c r="AQ223" s="112"/>
      <c r="AR223" s="112"/>
      <c r="AS223" s="112"/>
      <c r="AT223" s="112"/>
      <c r="AU223" s="112"/>
    </row>
    <row r="224" spans="2:47" hidden="1" x14ac:dyDescent="0.2">
      <c r="B224" s="112"/>
      <c r="C224" s="112"/>
      <c r="D224" s="112">
        <f t="shared" si="104"/>
        <v>3.0111962101735661E-2</v>
      </c>
      <c r="E224" s="1">
        <f t="shared" si="103"/>
        <v>7.7209407048632901</v>
      </c>
      <c r="F224" s="112">
        <f t="shared" si="106"/>
        <v>1.115863499700037E-2</v>
      </c>
      <c r="G224" s="112">
        <f t="shared" si="105"/>
        <v>28.466382835394576</v>
      </c>
      <c r="H224" s="112"/>
      <c r="I224" s="112"/>
      <c r="J224" s="112"/>
      <c r="K224" s="112"/>
      <c r="L224" s="112" t="s">
        <v>107</v>
      </c>
      <c r="M224" s="112" t="s">
        <v>108</v>
      </c>
      <c r="N224" s="112" t="s">
        <v>107</v>
      </c>
      <c r="O224" s="112" t="s">
        <v>108</v>
      </c>
      <c r="P224" s="112" t="s">
        <v>109</v>
      </c>
      <c r="Q224" s="112">
        <f>-0.6226/(((M212-2)^0.2426))+1.147</f>
        <v>0.78164935065975727</v>
      </c>
      <c r="R224" s="112"/>
      <c r="S224" s="112"/>
      <c r="T224" s="112"/>
      <c r="U224" s="112">
        <f>1+(U217*EXP(-U218*U221))</f>
        <v>1.1792738795753923</v>
      </c>
      <c r="V224" s="209"/>
      <c r="W224" s="209"/>
      <c r="X224" s="209"/>
      <c r="Y224" s="112"/>
      <c r="AA224" s="112"/>
      <c r="AB224" s="112"/>
      <c r="AP224" s="112"/>
      <c r="AQ224" s="112"/>
      <c r="AR224" s="112"/>
      <c r="AS224" s="112"/>
      <c r="AT224" s="112"/>
      <c r="AU224" s="112"/>
    </row>
    <row r="225" spans="2:47" hidden="1" x14ac:dyDescent="0.2">
      <c r="B225" s="112"/>
      <c r="C225" s="112"/>
      <c r="D225" s="112">
        <f t="shared" si="104"/>
        <v>3.136662718930798E-2</v>
      </c>
      <c r="E225" s="1">
        <f t="shared" si="103"/>
        <v>7.1313591302782715</v>
      </c>
      <c r="F225" s="112">
        <f t="shared" si="106"/>
        <v>1.1623578121875386E-2</v>
      </c>
      <c r="G225" s="112">
        <f t="shared" si="105"/>
        <v>28.823290881455467</v>
      </c>
      <c r="H225" s="112"/>
      <c r="I225" s="112"/>
      <c r="J225" s="112"/>
      <c r="K225" s="112"/>
      <c r="L225" s="112" t="s">
        <v>110</v>
      </c>
      <c r="M225" s="112">
        <f>1.645+U211/(M212-2)+U225</f>
        <v>3.082661345758074</v>
      </c>
      <c r="N225" s="112" t="s">
        <v>110</v>
      </c>
      <c r="O225" s="112">
        <f>-0.74295/(M212-2)-1.64765+M211*(Q223+Q222*EXP(Q221*(M211^Q224)))</f>
        <v>-1.7002092654016558</v>
      </c>
      <c r="P225" s="112" t="s">
        <v>111</v>
      </c>
      <c r="Q225" s="112"/>
      <c r="R225" s="112"/>
      <c r="S225" s="112"/>
      <c r="T225" s="112"/>
      <c r="U225" s="112">
        <f>U222*U223/U224</f>
        <v>1.3523650590914074</v>
      </c>
      <c r="V225" s="209"/>
      <c r="W225" s="209"/>
      <c r="X225" s="209"/>
      <c r="Y225" s="112"/>
      <c r="AA225" s="112"/>
      <c r="AB225" s="112"/>
      <c r="AP225" s="112"/>
      <c r="AQ225" s="112"/>
      <c r="AR225" s="112"/>
      <c r="AS225" s="112"/>
      <c r="AT225" s="112"/>
      <c r="AU225" s="112"/>
    </row>
    <row r="226" spans="2:47" hidden="1" x14ac:dyDescent="0.2">
      <c r="B226" s="112"/>
      <c r="C226" s="112"/>
      <c r="D226" s="112">
        <f t="shared" si="104"/>
        <v>3.26212922768803E-2</v>
      </c>
      <c r="E226" s="1">
        <f t="shared" si="103"/>
        <v>6.5981137996311565</v>
      </c>
      <c r="F226" s="112">
        <f t="shared" si="106"/>
        <v>1.2088521246750401E-2</v>
      </c>
      <c r="G226" s="112">
        <f t="shared" si="105"/>
        <v>29.147899187189363</v>
      </c>
      <c r="H226" s="112"/>
      <c r="I226" s="112"/>
      <c r="J226" s="112"/>
      <c r="K226" s="112"/>
      <c r="L226" s="112"/>
      <c r="M226" s="112"/>
      <c r="N226" s="112"/>
      <c r="O226" s="112"/>
      <c r="P226" s="112"/>
      <c r="Q226" s="112"/>
      <c r="R226" s="112"/>
      <c r="S226" s="112"/>
      <c r="T226" s="112"/>
      <c r="U226" s="112"/>
      <c r="V226" s="209"/>
      <c r="W226" s="209"/>
      <c r="X226" s="209"/>
      <c r="Y226" s="112"/>
      <c r="AA226" s="112"/>
      <c r="AB226" s="112"/>
      <c r="AP226" s="112"/>
      <c r="AQ226" s="112"/>
      <c r="AR226" s="112"/>
      <c r="AS226" s="112"/>
      <c r="AT226" s="112"/>
      <c r="AU226" s="112"/>
    </row>
    <row r="227" spans="2:47" hidden="1" x14ac:dyDescent="0.2">
      <c r="B227" s="112"/>
      <c r="C227" s="112"/>
      <c r="D227" s="112">
        <f t="shared" si="104"/>
        <v>3.3875957364452619E-2</v>
      </c>
      <c r="E227" s="1">
        <f t="shared" si="103"/>
        <v>6.1147531989380743</v>
      </c>
      <c r="F227" s="112">
        <f t="shared" si="106"/>
        <v>1.2553464371625416E-2</v>
      </c>
      <c r="G227" s="112">
        <f t="shared" si="105"/>
        <v>29.43902133032725</v>
      </c>
      <c r="H227" s="112"/>
      <c r="I227" s="112"/>
      <c r="J227" s="112"/>
      <c r="K227" s="112"/>
      <c r="L227" s="112" t="s">
        <v>112</v>
      </c>
      <c r="M227" s="112"/>
      <c r="N227" s="112"/>
      <c r="O227" s="112"/>
      <c r="P227" s="112"/>
      <c r="Q227" s="112"/>
      <c r="R227" s="112"/>
      <c r="S227" s="112"/>
      <c r="T227" s="112"/>
      <c r="U227" s="112"/>
      <c r="V227" s="209"/>
      <c r="W227" s="209"/>
      <c r="X227" s="209"/>
      <c r="Y227" s="112"/>
      <c r="AA227" s="112"/>
      <c r="AB227" s="112"/>
      <c r="AP227" s="112"/>
      <c r="AQ227" s="112"/>
      <c r="AR227" s="112"/>
      <c r="AS227" s="112"/>
      <c r="AT227" s="112"/>
      <c r="AU227" s="112"/>
    </row>
    <row r="228" spans="2:47" hidden="1" x14ac:dyDescent="0.2">
      <c r="B228" s="112"/>
      <c r="C228" s="112"/>
      <c r="D228" s="112">
        <f t="shared" si="104"/>
        <v>3.5130622452024939E-2</v>
      </c>
      <c r="E228" s="1">
        <f t="shared" si="103"/>
        <v>5.6756814482593532</v>
      </c>
      <c r="F228" s="112">
        <f t="shared" si="106"/>
        <v>1.3018407496500432E-2</v>
      </c>
      <c r="G228" s="112">
        <f t="shared" si="105"/>
        <v>29.695585529238631</v>
      </c>
      <c r="H228" s="112"/>
      <c r="I228" s="112"/>
      <c r="J228" s="112"/>
      <c r="K228" s="112"/>
      <c r="L228" s="112" t="s">
        <v>113</v>
      </c>
      <c r="M228" s="112"/>
      <c r="N228" s="112"/>
      <c r="O228" s="112"/>
      <c r="P228" s="112"/>
      <c r="Q228" s="112"/>
      <c r="R228" s="112"/>
      <c r="S228" s="112"/>
      <c r="T228" s="112"/>
      <c r="U228" s="112"/>
      <c r="V228" s="209"/>
      <c r="W228" s="209" t="s">
        <v>114</v>
      </c>
      <c r="X228" s="209"/>
      <c r="Y228" s="112"/>
      <c r="AA228" s="112"/>
      <c r="AB228" s="112"/>
      <c r="AP228" s="112"/>
      <c r="AQ228" s="112"/>
      <c r="AR228" s="112"/>
      <c r="AS228" s="112"/>
      <c r="AT228" s="112"/>
      <c r="AU228" s="112"/>
    </row>
    <row r="229" spans="2:47" hidden="1" x14ac:dyDescent="0.2">
      <c r="B229" s="112"/>
      <c r="C229" s="112"/>
      <c r="D229" s="112">
        <f t="shared" si="104"/>
        <v>3.6385287539597258E-2</v>
      </c>
      <c r="E229" s="1">
        <f t="shared" si="103"/>
        <v>5.2760305630146558</v>
      </c>
      <c r="F229" s="112">
        <f t="shared" si="106"/>
        <v>1.3483350621375447E-2</v>
      </c>
      <c r="G229" s="112">
        <f t="shared" si="105"/>
        <v>29.916641214723469</v>
      </c>
      <c r="H229" s="112"/>
      <c r="I229" s="112"/>
      <c r="J229" s="112"/>
      <c r="K229" s="112"/>
      <c r="L229" s="112" t="s">
        <v>85</v>
      </c>
      <c r="M229" s="112">
        <v>3</v>
      </c>
      <c r="N229" s="112">
        <v>4</v>
      </c>
      <c r="O229" s="112">
        <v>5</v>
      </c>
      <c r="P229" s="112">
        <v>6</v>
      </c>
      <c r="Q229" s="112">
        <v>7</v>
      </c>
      <c r="R229" s="112"/>
      <c r="S229" s="112"/>
      <c r="T229" s="112"/>
      <c r="U229" s="112" t="s">
        <v>115</v>
      </c>
      <c r="V229" s="209"/>
      <c r="W229" s="209">
        <v>3</v>
      </c>
      <c r="X229" s="209"/>
      <c r="Y229" s="112">
        <v>4</v>
      </c>
      <c r="AA229" s="112"/>
      <c r="AB229" s="112"/>
      <c r="AP229" s="112"/>
      <c r="AQ229" s="112"/>
      <c r="AR229" s="112"/>
      <c r="AS229" s="112"/>
      <c r="AT229" s="112"/>
      <c r="AU229" s="112"/>
    </row>
    <row r="230" spans="2:47" hidden="1" x14ac:dyDescent="0.2">
      <c r="B230" s="112"/>
      <c r="C230" s="112"/>
      <c r="D230" s="112">
        <f t="shared" si="104"/>
        <v>3.7639952627169578E-2</v>
      </c>
      <c r="E230" s="1">
        <f t="shared" si="103"/>
        <v>4.9115536457298479</v>
      </c>
      <c r="F230" s="112">
        <f t="shared" si="106"/>
        <v>1.3948293746250463E-2</v>
      </c>
      <c r="G230" s="112">
        <f t="shared" si="105"/>
        <v>30.101364896387381</v>
      </c>
      <c r="H230" s="112"/>
      <c r="I230" s="112"/>
      <c r="J230" s="112"/>
      <c r="K230" s="112"/>
      <c r="L230" s="112" t="s">
        <v>84</v>
      </c>
      <c r="M230" s="112">
        <v>2.3828098999999998</v>
      </c>
      <c r="N230" s="112">
        <v>2.0366181000000001</v>
      </c>
      <c r="O230" s="112">
        <v>1.9107517000000001</v>
      </c>
      <c r="P230" s="112">
        <v>1.8365940999999999</v>
      </c>
      <c r="Q230" s="112">
        <v>1.7994842</v>
      </c>
      <c r="R230" s="112"/>
      <c r="S230" s="112"/>
      <c r="T230" s="112"/>
      <c r="U230" s="112">
        <v>1.642361</v>
      </c>
      <c r="V230" s="209"/>
      <c r="W230" s="209">
        <v>-2.3865192999999998</v>
      </c>
      <c r="X230" s="209"/>
      <c r="Y230" s="112">
        <v>-2.0397148999999999</v>
      </c>
      <c r="AA230" s="112">
        <v>5</v>
      </c>
      <c r="AB230" s="112" t="s">
        <v>116</v>
      </c>
      <c r="AP230" s="112"/>
      <c r="AQ230" s="112"/>
      <c r="AR230" s="112"/>
      <c r="AS230" s="112"/>
      <c r="AT230" s="112"/>
      <c r="AU230" s="112"/>
    </row>
    <row r="231" spans="2:47" hidden="1" x14ac:dyDescent="0.2">
      <c r="B231" s="112"/>
      <c r="C231" s="112"/>
      <c r="D231" s="112">
        <f t="shared" si="104"/>
        <v>3.8894617714741897E-2</v>
      </c>
      <c r="E231" s="1">
        <f t="shared" si="103"/>
        <v>4.5785353377077822</v>
      </c>
      <c r="F231" s="112">
        <f t="shared" si="106"/>
        <v>1.4413236871125478E-2</v>
      </c>
      <c r="G231" s="112">
        <f t="shared" si="105"/>
        <v>30.249065272943881</v>
      </c>
      <c r="H231" s="112"/>
      <c r="I231" s="112"/>
      <c r="J231" s="112"/>
      <c r="K231" s="112"/>
      <c r="L231" s="112" t="s">
        <v>86</v>
      </c>
      <c r="M231" s="112">
        <v>-1.9078016</v>
      </c>
      <c r="N231" s="112">
        <v>-1.6251827999999999</v>
      </c>
      <c r="O231" s="112">
        <v>-0.75392424000000002</v>
      </c>
      <c r="P231" s="112">
        <v>0.12293613</v>
      </c>
      <c r="Q231" s="112">
        <v>-0.66799472000000004</v>
      </c>
      <c r="R231" s="112"/>
      <c r="S231" s="112"/>
      <c r="T231" s="112"/>
      <c r="U231" s="112">
        <v>-8.9895706000000006E-2</v>
      </c>
      <c r="V231" s="209"/>
      <c r="W231" s="209">
        <v>1.7079129</v>
      </c>
      <c r="X231" s="209"/>
      <c r="Y231" s="112">
        <v>1.1478581000000001</v>
      </c>
      <c r="AA231" s="112">
        <v>-1.9080983</v>
      </c>
      <c r="AB231" s="112">
        <v>-1.6652842999999999</v>
      </c>
      <c r="AP231" s="112"/>
      <c r="AQ231" s="112"/>
      <c r="AR231" s="112"/>
      <c r="AS231" s="112"/>
      <c r="AT231" s="112"/>
      <c r="AU231" s="112"/>
    </row>
    <row r="232" spans="2:47" hidden="1" x14ac:dyDescent="0.2">
      <c r="B232" s="112"/>
      <c r="C232" s="112"/>
      <c r="D232" s="112">
        <f t="shared" si="104"/>
        <v>4.0149282802314216E-2</v>
      </c>
      <c r="E232" s="1">
        <f t="shared" si="103"/>
        <v>4.2737165288204144</v>
      </c>
      <c r="F232" s="112">
        <f t="shared" si="106"/>
        <v>1.4878179996000494E-2</v>
      </c>
      <c r="G232" s="112">
        <f t="shared" si="105"/>
        <v>30.359187542068131</v>
      </c>
      <c r="H232" s="112"/>
      <c r="I232" s="112"/>
      <c r="J232" s="112"/>
      <c r="K232" s="112"/>
      <c r="L232" s="112" t="s">
        <v>88</v>
      </c>
      <c r="M232" s="112">
        <v>-1.2992596999999999</v>
      </c>
      <c r="N232" s="112">
        <v>-1.6229194</v>
      </c>
      <c r="O232" s="112">
        <v>-0.42339524000000001</v>
      </c>
      <c r="P232" s="112">
        <v>1.3030195</v>
      </c>
      <c r="Q232" s="112">
        <v>-0.44540781000000002</v>
      </c>
      <c r="R232" s="112"/>
      <c r="S232" s="112"/>
      <c r="T232" s="112"/>
      <c r="U232" s="112">
        <v>2.8580990000000002</v>
      </c>
      <c r="V232" s="209"/>
      <c r="W232" s="209">
        <v>-0.97733457999999995</v>
      </c>
      <c r="X232" s="209"/>
      <c r="Y232" s="112">
        <v>-0.69548849000000001</v>
      </c>
      <c r="AA232" s="112">
        <v>0.92104951999999995</v>
      </c>
      <c r="AB232" s="112">
        <v>0.10902402</v>
      </c>
      <c r="AP232" s="112"/>
      <c r="AQ232" s="112"/>
      <c r="AR232" s="112"/>
      <c r="AS232" s="112"/>
      <c r="AT232" s="112"/>
      <c r="AU232" s="112"/>
    </row>
    <row r="233" spans="2:47" hidden="1" x14ac:dyDescent="0.2">
      <c r="B233" s="112"/>
      <c r="C233" s="112"/>
      <c r="D233" s="112">
        <f t="shared" si="104"/>
        <v>4.1403947889886536E-2</v>
      </c>
      <c r="E233" s="1">
        <f t="shared" ref="E233:E264" si="107">(EXP(((LN(D233)-$AB$15)^2)/(-2*($AB$16^2))))/(D233*$AB$16*SQRT(2*PI()))</f>
        <v>3.9942308713879289</v>
      </c>
      <c r="F233" s="112">
        <f t="shared" si="106"/>
        <v>1.5343123120875509E-2</v>
      </c>
      <c r="G233" s="112">
        <f t="shared" si="105"/>
        <v>30.431316872202125</v>
      </c>
      <c r="H233" s="112"/>
      <c r="I233" s="112"/>
      <c r="J233" s="112"/>
      <c r="K233" s="112"/>
      <c r="L233" s="112" t="s">
        <v>90</v>
      </c>
      <c r="M233" s="112">
        <v>5.2917836999999999</v>
      </c>
      <c r="N233" s="112">
        <v>2.6423741999999999</v>
      </c>
      <c r="O233" s="112">
        <v>0.89103098000000003</v>
      </c>
      <c r="P233" s="112">
        <v>1.5345557999999999</v>
      </c>
      <c r="Q233" s="112">
        <v>0.85685750999999999</v>
      </c>
      <c r="R233" s="112"/>
      <c r="S233" s="112"/>
      <c r="T233" s="112"/>
      <c r="U233" s="112">
        <v>0.69351183000000005</v>
      </c>
      <c r="V233" s="209"/>
      <c r="W233" s="209">
        <v>-3.6191266E-2</v>
      </c>
      <c r="X233" s="209"/>
      <c r="Y233" s="112">
        <v>-1.8545415999999999E-2</v>
      </c>
      <c r="AA233" s="112">
        <v>-0.58741405000000002</v>
      </c>
      <c r="AB233" s="112">
        <v>0.41441365000000002</v>
      </c>
      <c r="AP233" s="112"/>
      <c r="AQ233" s="112"/>
      <c r="AR233" s="112"/>
      <c r="AS233" s="112"/>
      <c r="AT233" s="112"/>
      <c r="AU233" s="112"/>
    </row>
    <row r="234" spans="2:47" hidden="1" x14ac:dyDescent="0.2">
      <c r="B234" s="112"/>
      <c r="C234" s="112"/>
      <c r="D234" s="112">
        <f t="shared" ref="D234:D265" si="108">D233+$E$198</f>
        <v>4.2658612977458855E-2</v>
      </c>
      <c r="E234" s="1">
        <f t="shared" si="107"/>
        <v>3.7375510905835019</v>
      </c>
      <c r="F234" s="112">
        <f t="shared" si="106"/>
        <v>1.5808066245750523E-2</v>
      </c>
      <c r="G234" s="112">
        <f t="shared" si="105"/>
        <v>30.465181005908718</v>
      </c>
      <c r="H234" s="112"/>
      <c r="I234" s="112"/>
      <c r="J234" s="112"/>
      <c r="K234" s="112"/>
      <c r="L234" s="112" t="s">
        <v>92</v>
      </c>
      <c r="M234" s="112">
        <v>7.9866450000000002</v>
      </c>
      <c r="N234" s="112">
        <v>4.0754459000000001</v>
      </c>
      <c r="O234" s="112">
        <v>2.7606354</v>
      </c>
      <c r="P234" s="112">
        <v>2.6593491999999999</v>
      </c>
      <c r="Q234" s="112">
        <v>2.0272399999999999</v>
      </c>
      <c r="R234" s="112"/>
      <c r="S234" s="112"/>
      <c r="T234" s="112"/>
      <c r="U234" s="112">
        <v>-40.990924</v>
      </c>
      <c r="V234" s="209"/>
      <c r="W234" s="209">
        <v>-0.62035479000000004</v>
      </c>
      <c r="X234" s="209"/>
      <c r="Y234" s="112">
        <v>-0.52301624000000002</v>
      </c>
      <c r="AA234" s="112">
        <v>-9.7144959999999995E-3</v>
      </c>
      <c r="AB234" s="112">
        <v>-0.41101237000000002</v>
      </c>
      <c r="AP234" s="112"/>
      <c r="AQ234" s="112"/>
      <c r="AR234" s="112"/>
      <c r="AS234" s="112"/>
      <c r="AT234" s="112"/>
      <c r="AU234" s="112"/>
    </row>
    <row r="235" spans="2:47" hidden="1" x14ac:dyDescent="0.2">
      <c r="B235" s="112"/>
      <c r="C235" s="112"/>
      <c r="D235" s="112">
        <f t="shared" si="108"/>
        <v>4.3913278065031175E-2</v>
      </c>
      <c r="E235" s="1">
        <f t="shared" si="107"/>
        <v>3.5014434467818285</v>
      </c>
      <c r="F235" s="112">
        <f t="shared" si="106"/>
        <v>1.6273009370625539E-2</v>
      </c>
      <c r="G235" s="112">
        <f t="shared" si="105"/>
        <v>30.460651971911165</v>
      </c>
      <c r="H235" s="112"/>
      <c r="I235" s="112"/>
      <c r="J235" s="112"/>
      <c r="K235" s="112"/>
      <c r="L235" s="112" t="s">
        <v>117</v>
      </c>
      <c r="M235" s="112">
        <v>-0.68237044999999996</v>
      </c>
      <c r="N235" s="112">
        <v>-1.0014932999999999</v>
      </c>
      <c r="O235" s="112">
        <v>-0.18397781999999999</v>
      </c>
      <c r="P235" s="112">
        <v>-0.48014163999999998</v>
      </c>
      <c r="Q235" s="112">
        <v>0.11982843999999999</v>
      </c>
      <c r="R235" s="112"/>
      <c r="S235" s="112"/>
      <c r="T235" s="112"/>
      <c r="U235" s="112">
        <v>5.2690665000000001</v>
      </c>
      <c r="V235" s="209"/>
      <c r="W235" s="209"/>
      <c r="X235" s="209"/>
      <c r="Y235" s="112"/>
      <c r="AA235" s="112">
        <v>-0.49022279000000002</v>
      </c>
      <c r="AB235" s="112">
        <v>-16.464545999999999</v>
      </c>
      <c r="AP235" s="112"/>
      <c r="AQ235" s="112"/>
      <c r="AR235" s="112"/>
      <c r="AS235" s="112"/>
      <c r="AT235" s="112"/>
      <c r="AU235" s="112"/>
    </row>
    <row r="236" spans="2:47" hidden="1" x14ac:dyDescent="0.2">
      <c r="B236" s="112"/>
      <c r="C236" s="112"/>
      <c r="D236" s="112">
        <f t="shared" si="108"/>
        <v>4.5167943152603494E-2</v>
      </c>
      <c r="E236" s="1">
        <f t="shared" si="107"/>
        <v>3.2839290000984089</v>
      </c>
      <c r="F236" s="112">
        <f t="shared" si="106"/>
        <v>1.6737952495500554E-2</v>
      </c>
      <c r="G236" s="112">
        <f t="shared" si="105"/>
        <v>30.417746890752351</v>
      </c>
      <c r="H236" s="112"/>
      <c r="I236" s="112"/>
      <c r="J236" s="112"/>
      <c r="K236" s="112"/>
      <c r="L236" s="112" t="s">
        <v>96</v>
      </c>
      <c r="M236" s="112">
        <v>31.329889999999999</v>
      </c>
      <c r="N236" s="112">
        <v>3.4090807000000001</v>
      </c>
      <c r="O236" s="112">
        <v>0.13008099000000001</v>
      </c>
      <c r="P236" s="112">
        <v>4.8166928999999996</v>
      </c>
      <c r="Q236" s="112">
        <v>0.48077010999999997</v>
      </c>
      <c r="R236" s="112"/>
      <c r="S236" s="112"/>
      <c r="T236" s="112"/>
      <c r="U236" s="112">
        <v>-0.13243948999999999</v>
      </c>
      <c r="V236" s="209"/>
      <c r="W236" s="209"/>
      <c r="X236" s="209"/>
      <c r="Y236" s="112"/>
      <c r="AA236" s="112"/>
      <c r="AB236" s="112">
        <v>4.2113052</v>
      </c>
      <c r="AP236" s="112"/>
      <c r="AQ236" s="112"/>
      <c r="AR236" s="112"/>
      <c r="AS236" s="112"/>
      <c r="AT236" s="112"/>
      <c r="AU236" s="112"/>
    </row>
    <row r="237" spans="2:47" hidden="1" x14ac:dyDescent="0.2">
      <c r="B237" s="112"/>
      <c r="C237" s="112"/>
      <c r="D237" s="112">
        <f t="shared" si="108"/>
        <v>4.6422608240175814E-2</v>
      </c>
      <c r="E237" s="1">
        <f t="shared" si="107"/>
        <v>3.0832505668896664</v>
      </c>
      <c r="F237" s="112">
        <f t="shared" si="106"/>
        <v>1.720289562037557E-2</v>
      </c>
      <c r="G237" s="112">
        <f t="shared" si="105"/>
        <v>30.336627866975622</v>
      </c>
      <c r="H237" s="112"/>
      <c r="I237" s="112"/>
      <c r="J237" s="112"/>
      <c r="K237" s="112"/>
      <c r="L237" s="112" t="s">
        <v>98</v>
      </c>
      <c r="M237" s="112">
        <v>0.54527619000000005</v>
      </c>
      <c r="N237" s="112">
        <v>0.29455520000000002</v>
      </c>
      <c r="O237" s="112">
        <v>5.3432080999999999E-2</v>
      </c>
      <c r="P237" s="112">
        <v>3.9733021999999998E-3</v>
      </c>
      <c r="Q237" s="112">
        <v>2.3989184E-2</v>
      </c>
      <c r="R237" s="112"/>
      <c r="S237" s="112"/>
      <c r="T237" s="112"/>
      <c r="U237" s="112">
        <v>182.18949000000001</v>
      </c>
      <c r="V237" s="209"/>
      <c r="W237" s="209"/>
      <c r="X237" s="209"/>
      <c r="Y237" s="112"/>
      <c r="AA237" s="112"/>
      <c r="AB237" s="112">
        <v>6.6100924000000005E-2</v>
      </c>
      <c r="AP237" s="112"/>
      <c r="AQ237" s="112"/>
      <c r="AR237" s="112"/>
      <c r="AS237" s="112"/>
      <c r="AT237" s="112"/>
      <c r="AU237" s="112"/>
    </row>
    <row r="238" spans="2:47" hidden="1" x14ac:dyDescent="0.2">
      <c r="B238" s="112"/>
      <c r="C238" s="112"/>
      <c r="D238" s="112">
        <f t="shared" si="108"/>
        <v>4.7677273327748133E-2</v>
      </c>
      <c r="E238" s="1">
        <f t="shared" si="107"/>
        <v>2.8978444527703653</v>
      </c>
      <c r="F238" s="112">
        <f t="shared" si="106"/>
        <v>1.7667838745250585E-2</v>
      </c>
      <c r="G238" s="112">
        <f t="shared" si="105"/>
        <v>30.217600968777596</v>
      </c>
      <c r="H238" s="112"/>
      <c r="I238" s="112"/>
      <c r="J238" s="112"/>
      <c r="K238" s="112"/>
      <c r="L238" s="112" t="s">
        <v>118</v>
      </c>
      <c r="M238" s="112">
        <v>14.169840000000001</v>
      </c>
      <c r="N238" s="112">
        <v>0.62956062999999995</v>
      </c>
      <c r="O238" s="112">
        <v>0.53746225999999997</v>
      </c>
      <c r="P238" s="112">
        <v>-1.6148013000000001</v>
      </c>
      <c r="Q238" s="112">
        <v>1.065744</v>
      </c>
      <c r="R238" s="112"/>
      <c r="S238" s="112"/>
      <c r="T238" s="112"/>
      <c r="U238" s="112">
        <v>24.118100999999999</v>
      </c>
      <c r="V238" s="209"/>
      <c r="W238" s="209"/>
      <c r="X238" s="209"/>
      <c r="Y238" s="112"/>
      <c r="AA238" s="112"/>
      <c r="AB238" s="112">
        <v>55.619447000000001</v>
      </c>
      <c r="AP238" s="112"/>
      <c r="AQ238" s="112"/>
      <c r="AR238" s="112"/>
      <c r="AS238" s="112"/>
      <c r="AT238" s="112"/>
      <c r="AU238" s="112"/>
    </row>
    <row r="239" spans="2:47" hidden="1" x14ac:dyDescent="0.2">
      <c r="B239" s="112"/>
      <c r="C239" s="112"/>
      <c r="D239" s="112">
        <f t="shared" si="108"/>
        <v>4.8931938415320453E-2</v>
      </c>
      <c r="E239" s="1">
        <f t="shared" si="107"/>
        <v>2.726316205356174</v>
      </c>
      <c r="F239" s="112">
        <f t="shared" si="106"/>
        <v>1.8132781870125601E-2</v>
      </c>
      <c r="G239" s="112">
        <f t="shared" si="105"/>
        <v>30.061114304120437</v>
      </c>
      <c r="H239" s="112"/>
      <c r="I239" s="112"/>
      <c r="J239" s="112"/>
      <c r="K239" s="112"/>
      <c r="L239" s="112" t="s">
        <v>119</v>
      </c>
      <c r="M239" s="112">
        <v>-6.6913335000000004E-2</v>
      </c>
      <c r="N239" s="112">
        <v>-3.1880045000000003E-2</v>
      </c>
      <c r="O239" s="112">
        <v>-3.8110231999999998E-3</v>
      </c>
      <c r="P239" s="112">
        <v>0</v>
      </c>
      <c r="Q239" s="112">
        <v>0</v>
      </c>
      <c r="R239" s="112"/>
      <c r="S239" s="112"/>
      <c r="T239" s="112"/>
      <c r="U239" s="112">
        <v>1.588055</v>
      </c>
      <c r="V239" s="209"/>
      <c r="W239" s="209"/>
      <c r="X239" s="209"/>
      <c r="Y239" s="112"/>
      <c r="AA239" s="112"/>
      <c r="AB239" s="112">
        <v>-7.8131037000000001</v>
      </c>
      <c r="AE239" s="112" t="s">
        <v>120</v>
      </c>
      <c r="AP239" s="112"/>
      <c r="AQ239" s="112"/>
      <c r="AR239" s="112"/>
      <c r="AS239" s="112"/>
      <c r="AT239" s="112"/>
      <c r="AU239" s="112"/>
    </row>
    <row r="240" spans="2:47" hidden="1" x14ac:dyDescent="0.2">
      <c r="B240" s="112"/>
      <c r="C240" s="112"/>
      <c r="D240" s="112">
        <f t="shared" si="108"/>
        <v>5.0186603502892772E-2</v>
      </c>
      <c r="E240" s="1">
        <f t="shared" si="107"/>
        <v>2.5674197594108508</v>
      </c>
      <c r="F240" s="112">
        <f t="shared" si="106"/>
        <v>1.8597724995000616E-2</v>
      </c>
      <c r="G240" s="112">
        <f t="shared" si="105"/>
        <v>29.867755210227077</v>
      </c>
      <c r="H240" s="112"/>
      <c r="I240" s="112"/>
      <c r="J240" s="112"/>
      <c r="K240" s="112"/>
      <c r="L240" s="112"/>
      <c r="M240" s="112"/>
      <c r="N240" s="112"/>
      <c r="O240" s="112"/>
      <c r="P240" s="112"/>
      <c r="Q240" s="112"/>
      <c r="R240" s="112"/>
      <c r="S240" s="112"/>
      <c r="T240" s="112"/>
      <c r="U240" s="112"/>
      <c r="V240" s="209"/>
      <c r="W240" s="209"/>
      <c r="X240" s="209"/>
      <c r="Y240" s="112" t="s">
        <v>121</v>
      </c>
      <c r="AA240" s="112"/>
      <c r="AB240" s="112">
        <v>-0.22232526999999999</v>
      </c>
      <c r="AF240" s="112" t="s">
        <v>122</v>
      </c>
      <c r="AG240" s="112" t="s">
        <v>123</v>
      </c>
      <c r="AP240" s="112"/>
      <c r="AQ240" s="112"/>
      <c r="AR240" s="112"/>
      <c r="AS240" s="112"/>
      <c r="AT240" s="112"/>
      <c r="AU240" s="112"/>
    </row>
    <row r="241" spans="2:47" hidden="1" x14ac:dyDescent="0.2">
      <c r="B241" s="112"/>
      <c r="C241" s="112"/>
      <c r="D241" s="112">
        <f t="shared" si="108"/>
        <v>5.1441268590465092E-2</v>
      </c>
      <c r="E241" s="1">
        <f t="shared" si="107"/>
        <v>2.4200394529711411</v>
      </c>
      <c r="F241" s="112">
        <f t="shared" si="106"/>
        <v>1.9062668119875632E-2</v>
      </c>
      <c r="G241" s="112">
        <f t="shared" si="105"/>
        <v>29.638246581127049</v>
      </c>
      <c r="H241" s="112"/>
      <c r="I241" s="112"/>
      <c r="J241" s="112"/>
      <c r="K241" s="112"/>
      <c r="L241" s="112"/>
      <c r="M241" s="112"/>
      <c r="N241" s="112"/>
      <c r="O241" s="112"/>
      <c r="P241" s="112"/>
      <c r="Q241" s="112" t="s">
        <v>124</v>
      </c>
      <c r="R241" s="112"/>
      <c r="S241" s="112"/>
      <c r="T241" s="112"/>
      <c r="U241" s="112"/>
      <c r="V241" s="209"/>
      <c r="W241" s="209"/>
      <c r="X241" s="209"/>
      <c r="Y241" s="112" t="s">
        <v>125</v>
      </c>
      <c r="AA241" s="112" t="s">
        <v>122</v>
      </c>
      <c r="AB241" s="112" t="s">
        <v>123</v>
      </c>
      <c r="AE241" s="112" t="s">
        <v>125</v>
      </c>
      <c r="AF241" s="112">
        <f>AA242</f>
        <v>1.6334304355139948</v>
      </c>
      <c r="AG241" s="112">
        <f>-AF241</f>
        <v>-1.6334304355139948</v>
      </c>
      <c r="AP241" s="112"/>
      <c r="AQ241" s="112"/>
      <c r="AR241" s="112"/>
      <c r="AS241" s="112"/>
      <c r="AT241" s="112"/>
      <c r="AU241" s="112"/>
    </row>
    <row r="242" spans="2:47" hidden="1" x14ac:dyDescent="0.2">
      <c r="B242" s="112"/>
      <c r="C242" s="112"/>
      <c r="D242" s="112">
        <f t="shared" si="108"/>
        <v>5.2695933678037411E-2</v>
      </c>
      <c r="E242" s="1">
        <f t="shared" si="107"/>
        <v>2.2831744798408877</v>
      </c>
      <c r="F242" s="112">
        <f t="shared" si="106"/>
        <v>1.9527611244750647E-2</v>
      </c>
      <c r="G242" s="112">
        <f t="shared" si="105"/>
        <v>29.373442365386872</v>
      </c>
      <c r="H242" s="112"/>
      <c r="I242" s="112"/>
      <c r="J242" s="112"/>
      <c r="K242" s="112"/>
      <c r="L242" s="112"/>
      <c r="M242" s="112"/>
      <c r="N242" s="112"/>
      <c r="O242" s="112"/>
      <c r="P242" s="112"/>
      <c r="Q242" s="112" t="s">
        <v>85</v>
      </c>
      <c r="R242" s="112"/>
      <c r="S242" s="112"/>
      <c r="T242" s="112"/>
      <c r="U242" s="112">
        <f>M244</f>
        <v>11</v>
      </c>
      <c r="V242" s="209"/>
      <c r="W242" s="209"/>
      <c r="X242" s="209"/>
      <c r="Y242" s="112" t="s">
        <v>126</v>
      </c>
      <c r="AA242" s="112">
        <f>M248</f>
        <v>1.6334304355139948</v>
      </c>
      <c r="AB242" s="112">
        <f>AG241</f>
        <v>-1.6334304355139948</v>
      </c>
      <c r="AE242" s="112" t="s">
        <v>127</v>
      </c>
      <c r="AF242" s="112">
        <f>IF(AF241&lt;=3,1,0)</f>
        <v>1</v>
      </c>
      <c r="AG242" s="112">
        <f>IF(AG241&lt;=3,1,0)</f>
        <v>1</v>
      </c>
      <c r="AP242" s="112"/>
      <c r="AQ242" s="112"/>
      <c r="AR242" s="112"/>
      <c r="AS242" s="112"/>
      <c r="AT242" s="112"/>
      <c r="AU242" s="112"/>
    </row>
    <row r="243" spans="2:47" hidden="1" x14ac:dyDescent="0.2">
      <c r="B243" s="112"/>
      <c r="C243" s="112"/>
      <c r="D243" s="112">
        <f t="shared" si="108"/>
        <v>5.3950598765609731E-2</v>
      </c>
      <c r="E243" s="1">
        <f t="shared" si="107"/>
        <v>2.1559254152061778</v>
      </c>
      <c r="F243" s="112">
        <f t="shared" si="106"/>
        <v>1.9992554369625663E-2</v>
      </c>
      <c r="G243" s="112">
        <f t="shared" si="105"/>
        <v>29.074322273263611</v>
      </c>
      <c r="H243" s="112" t="s">
        <v>128</v>
      </c>
      <c r="I243" s="112"/>
      <c r="J243" s="112"/>
      <c r="K243" s="112"/>
      <c r="L243" s="112"/>
      <c r="M243" s="112"/>
      <c r="N243" s="112"/>
      <c r="O243" s="112"/>
      <c r="P243" s="112"/>
      <c r="Q243" s="112" t="s">
        <v>84</v>
      </c>
      <c r="R243" s="112"/>
      <c r="S243" s="112"/>
      <c r="T243" s="112"/>
      <c r="U243" s="112">
        <f>HLOOKUP(M244,M254:W264,2)</f>
        <v>0.29158510999999998</v>
      </c>
      <c r="V243" s="209"/>
      <c r="W243" s="209"/>
      <c r="X243" s="209"/>
      <c r="Y243" s="112" t="s">
        <v>84</v>
      </c>
      <c r="AA243" s="112">
        <f>AF246</f>
        <v>1</v>
      </c>
      <c r="AB243" s="112">
        <f>AG246</f>
        <v>2</v>
      </c>
      <c r="AE243" s="112" t="s">
        <v>129</v>
      </c>
      <c r="AF243" s="112">
        <f>IF(AF241&lt;0,1,0)</f>
        <v>0</v>
      </c>
      <c r="AG243" s="112">
        <f>IF(AG241&lt;0,1,0)</f>
        <v>1</v>
      </c>
      <c r="AP243" s="112"/>
      <c r="AQ243" s="112"/>
      <c r="AR243" s="112"/>
      <c r="AS243" s="112"/>
      <c r="AT243" s="112"/>
      <c r="AU243" s="112"/>
    </row>
    <row r="244" spans="2:47" hidden="1" x14ac:dyDescent="0.2">
      <c r="B244" s="112"/>
      <c r="C244" s="112"/>
      <c r="D244" s="112">
        <f t="shared" si="108"/>
        <v>5.520526385318205E-2</v>
      </c>
      <c r="E244" s="1">
        <f t="shared" si="107"/>
        <v>2.0374825099315079</v>
      </c>
      <c r="F244" s="112">
        <f t="shared" si="106"/>
        <v>2.0457497494500678E-2</v>
      </c>
      <c r="G244" s="112">
        <f t="shared" si="105"/>
        <v>28.74198573918563</v>
      </c>
      <c r="H244" s="112"/>
      <c r="I244" s="112" t="s">
        <v>122</v>
      </c>
      <c r="J244" s="112" t="s">
        <v>123</v>
      </c>
      <c r="K244" s="112"/>
      <c r="L244" s="112" t="s">
        <v>85</v>
      </c>
      <c r="M244" s="112">
        <f>AB6</f>
        <v>11</v>
      </c>
      <c r="N244" s="112"/>
      <c r="O244" s="112"/>
      <c r="P244" s="112"/>
      <c r="Q244" s="112" t="s">
        <v>86</v>
      </c>
      <c r="R244" s="112"/>
      <c r="S244" s="112"/>
      <c r="T244" s="112"/>
      <c r="U244" s="112">
        <f>HLOOKUP(M244,M254:W264,3)</f>
        <v>-0.14267075000000001</v>
      </c>
      <c r="V244" s="209"/>
      <c r="W244" s="209"/>
      <c r="X244" s="209"/>
      <c r="Y244" s="112" t="s">
        <v>86</v>
      </c>
      <c r="AA244" s="112" t="e">
        <f>HLOOKUP(AA243,AB257:AE267,2)</f>
        <v>#N/A</v>
      </c>
      <c r="AB244" s="112" t="e">
        <f>HLOOKUP(AB243,AB257:AE269,2)</f>
        <v>#N/A</v>
      </c>
      <c r="AE244" s="112" t="s">
        <v>130</v>
      </c>
      <c r="AF244" s="112">
        <f>IF(AF241&lt;-6,1,0)</f>
        <v>0</v>
      </c>
      <c r="AG244" s="112">
        <f>IF(AG241&lt;-6,1,0)</f>
        <v>0</v>
      </c>
      <c r="AP244" s="112"/>
      <c r="AQ244" s="112"/>
      <c r="AR244" s="112"/>
      <c r="AS244" s="112"/>
      <c r="AT244" s="112"/>
      <c r="AU244" s="112"/>
    </row>
    <row r="245" spans="2:47" hidden="1" x14ac:dyDescent="0.2">
      <c r="B245" s="112"/>
      <c r="C245" s="112"/>
      <c r="D245" s="112">
        <f t="shared" si="108"/>
        <v>5.645992894075437E-2</v>
      </c>
      <c r="E245" s="1">
        <f t="shared" si="107"/>
        <v>1.9271154976903651</v>
      </c>
      <c r="F245" s="112">
        <f t="shared" si="106"/>
        <v>2.0922440619375694E-2</v>
      </c>
      <c r="G245" s="112">
        <f t="shared" si="105"/>
        <v>28.377645191618171</v>
      </c>
      <c r="H245" s="112" t="s">
        <v>131</v>
      </c>
      <c r="I245" s="112" t="e">
        <f>IF(M244&lt;10,O251*100,P251*100)</f>
        <v>#N/A</v>
      </c>
      <c r="J245" s="112" t="e">
        <f>IF(M244&lt;10,O252*100,P252*100)</f>
        <v>#N/A</v>
      </c>
      <c r="K245" s="112"/>
      <c r="L245" s="112" t="s">
        <v>132</v>
      </c>
      <c r="M245" s="112">
        <f>D6</f>
        <v>0.06</v>
      </c>
      <c r="N245" s="112">
        <f>LN(M245)</f>
        <v>-2.8134107167600364</v>
      </c>
      <c r="O245" s="112" t="s">
        <v>133</v>
      </c>
      <c r="P245" s="112"/>
      <c r="Q245" s="112" t="s">
        <v>88</v>
      </c>
      <c r="R245" s="112"/>
      <c r="S245" s="112"/>
      <c r="T245" s="112"/>
      <c r="U245" s="112">
        <f>HLOOKUP(M244,M254:W264,4)</f>
        <v>-0.37596357000000002</v>
      </c>
      <c r="V245" s="209"/>
      <c r="W245" s="209"/>
      <c r="X245" s="209"/>
      <c r="Y245" s="112" t="s">
        <v>88</v>
      </c>
      <c r="AA245" s="112" t="e">
        <f>HLOOKUP(AA243,AB257:AE267,3)</f>
        <v>#N/A</v>
      </c>
      <c r="AB245" s="112" t="e">
        <f>HLOOKUP(AB243,AB257:AE269,3)</f>
        <v>#N/A</v>
      </c>
      <c r="AP245" s="112"/>
      <c r="AQ245" s="112"/>
      <c r="AR245" s="112"/>
      <c r="AS245" s="112"/>
      <c r="AT245" s="112"/>
      <c r="AU245" s="112"/>
    </row>
    <row r="246" spans="2:47" hidden="1" x14ac:dyDescent="0.2">
      <c r="B246" s="112"/>
      <c r="C246" s="112"/>
      <c r="D246" s="112">
        <f t="shared" si="108"/>
        <v>5.7714594028326689E-2</v>
      </c>
      <c r="E246" s="1">
        <f t="shared" si="107"/>
        <v>1.8241646993443044</v>
      </c>
      <c r="F246" s="112">
        <f t="shared" si="106"/>
        <v>2.1387383744250709E-2</v>
      </c>
      <c r="G246" s="112">
        <f t="shared" si="105"/>
        <v>27.982618687948477</v>
      </c>
      <c r="H246" s="112" t="s">
        <v>134</v>
      </c>
      <c r="I246" s="112" t="e">
        <f>IF(I245&gt;99.9,"&gt;99.9",I245)</f>
        <v>#N/A</v>
      </c>
      <c r="J246" s="112" t="e">
        <f>IF(J245&gt;99.9,"&gt;99.9",J245)</f>
        <v>#N/A</v>
      </c>
      <c r="K246" s="112"/>
      <c r="L246" s="112" t="s">
        <v>135</v>
      </c>
      <c r="M246" s="112">
        <f>AB15</f>
        <v>-4.5432771655548532</v>
      </c>
      <c r="N246" s="112">
        <f>EXP(M246)</f>
        <v>1.0638485285854532E-2</v>
      </c>
      <c r="O246" s="112" t="s">
        <v>136</v>
      </c>
      <c r="P246" s="112"/>
      <c r="Q246" s="112" t="s">
        <v>90</v>
      </c>
      <c r="R246" s="112"/>
      <c r="S246" s="112"/>
      <c r="T246" s="112"/>
      <c r="U246" s="112">
        <f>HLOOKUP(M244,M254:W264,5)</f>
        <v>0.41758212</v>
      </c>
      <c r="V246" s="209"/>
      <c r="W246" s="209"/>
      <c r="X246" s="209"/>
      <c r="Y246" s="112" t="s">
        <v>90</v>
      </c>
      <c r="AA246" s="112" t="e">
        <f>HLOOKUP(AA243,AB257:AE267,4)</f>
        <v>#N/A</v>
      </c>
      <c r="AB246" s="112" t="e">
        <f>HLOOKUP(AB243,AB257:AE269,4)</f>
        <v>#N/A</v>
      </c>
      <c r="AE246" s="112" t="s">
        <v>126</v>
      </c>
      <c r="AF246" s="112">
        <f>SUM(AF242:AF245)</f>
        <v>1</v>
      </c>
      <c r="AG246" s="112">
        <f>SUM(AG242:AG245)</f>
        <v>2</v>
      </c>
      <c r="AP246" s="112"/>
      <c r="AQ246" s="112"/>
      <c r="AR246" s="112"/>
      <c r="AS246" s="112"/>
      <c r="AT246" s="112"/>
      <c r="AU246" s="112"/>
    </row>
    <row r="247" spans="2:47" hidden="1" x14ac:dyDescent="0.2">
      <c r="B247" s="112"/>
      <c r="C247" s="112"/>
      <c r="D247" s="112">
        <f t="shared" si="108"/>
        <v>5.8969259115899009E-2</v>
      </c>
      <c r="E247" s="1">
        <f t="shared" si="107"/>
        <v>1.7280332424311591</v>
      </c>
      <c r="F247" s="112">
        <f t="shared" si="106"/>
        <v>2.1852326869125725E-2</v>
      </c>
      <c r="G247" s="112">
        <f t="shared" si="105"/>
        <v>27.558321976967861</v>
      </c>
      <c r="H247" s="112" t="s">
        <v>137</v>
      </c>
      <c r="I247" s="112" t="e">
        <f>IF(I245&lt;0.1,"&lt;0.1",I246)</f>
        <v>#N/A</v>
      </c>
      <c r="J247" s="112" t="e">
        <f>IF(J245&lt;0.1,"&lt;0.1",J246)</f>
        <v>#N/A</v>
      </c>
      <c r="K247" s="112"/>
      <c r="L247" s="112" t="s">
        <v>138</v>
      </c>
      <c r="M247" s="112">
        <f>AB16</f>
        <v>1.0590389472267157</v>
      </c>
      <c r="N247" s="112">
        <f>EXP(M247)</f>
        <v>2.8835983669555807</v>
      </c>
      <c r="O247" s="112" t="s">
        <v>139</v>
      </c>
      <c r="P247" s="112"/>
      <c r="Q247" s="112" t="s">
        <v>92</v>
      </c>
      <c r="R247" s="112"/>
      <c r="S247" s="112"/>
      <c r="T247" s="112"/>
      <c r="U247" s="112">
        <f>HLOOKUP(M244,M254:W264,6)</f>
        <v>0.2072291</v>
      </c>
      <c r="V247" s="209"/>
      <c r="W247" s="209"/>
      <c r="X247" s="209"/>
      <c r="Y247" s="112" t="s">
        <v>92</v>
      </c>
      <c r="AA247" s="112" t="e">
        <f>HLOOKUP(AA243,AB257:AE267,5)</f>
        <v>#N/A</v>
      </c>
      <c r="AB247" s="112" t="e">
        <f>HLOOKUP(AB243,AB257:AE269,5)</f>
        <v>#N/A</v>
      </c>
      <c r="AP247" s="112"/>
      <c r="AQ247" s="112"/>
      <c r="AR247" s="112"/>
      <c r="AS247" s="112"/>
      <c r="AT247" s="112"/>
      <c r="AU247" s="112"/>
    </row>
    <row r="248" spans="2:47" hidden="1" x14ac:dyDescent="0.2">
      <c r="B248" s="112"/>
      <c r="C248" s="112"/>
      <c r="D248" s="112">
        <f t="shared" si="108"/>
        <v>6.0223924203471328E-2</v>
      </c>
      <c r="E248" s="1">
        <f t="shared" si="107"/>
        <v>1.6381802414829363</v>
      </c>
      <c r="F248" s="112">
        <f t="shared" si="106"/>
        <v>2.231726999400074E-2</v>
      </c>
      <c r="G248" s="112">
        <f t="shared" si="105"/>
        <v>27.106260055788209</v>
      </c>
      <c r="H248" s="112" t="s">
        <v>140</v>
      </c>
      <c r="I248" s="112" t="e">
        <f>IF(N248&gt;3,"&lt;0.1",I247)</f>
        <v>#N/A</v>
      </c>
      <c r="J248" s="112" t="e">
        <f>IF(N249&gt;3,"&gt;99.9",J247)</f>
        <v>#N/A</v>
      </c>
      <c r="K248" s="112"/>
      <c r="L248" s="112" t="s">
        <v>125</v>
      </c>
      <c r="M248" s="112">
        <f>IF(N248&lt;-6,-6,N248)</f>
        <v>1.6334304355139948</v>
      </c>
      <c r="N248" s="112">
        <f>(LN(M245)-M246)/M247</f>
        <v>1.6334304355139948</v>
      </c>
      <c r="O248" s="112"/>
      <c r="P248" s="112"/>
      <c r="Q248" s="112" t="s">
        <v>117</v>
      </c>
      <c r="R248" s="112"/>
      <c r="S248" s="112"/>
      <c r="T248" s="112"/>
      <c r="U248" s="112">
        <f>HLOOKUP(M244,M254:W264,7)</f>
        <v>2.3635476999999998E-2</v>
      </c>
      <c r="V248" s="209"/>
      <c r="W248" s="209"/>
      <c r="X248" s="209"/>
      <c r="Y248" s="112" t="s">
        <v>117</v>
      </c>
      <c r="AA248" s="112" t="e">
        <f>HLOOKUP(AA243,AB257:AE267,6)</f>
        <v>#N/A</v>
      </c>
      <c r="AB248" s="112" t="e">
        <f>HLOOKUP(AB243,AB257:AE269,6)</f>
        <v>#N/A</v>
      </c>
      <c r="AP248" s="112"/>
      <c r="AQ248" s="112"/>
      <c r="AR248" s="112"/>
      <c r="AS248" s="112"/>
      <c r="AT248" s="112"/>
      <c r="AU248" s="112"/>
    </row>
    <row r="249" spans="2:47" hidden="1" x14ac:dyDescent="0.2">
      <c r="B249" s="112"/>
      <c r="C249" s="112"/>
      <c r="D249" s="112">
        <f t="shared" si="108"/>
        <v>6.1478589291043648E-2</v>
      </c>
      <c r="E249" s="1">
        <f t="shared" si="107"/>
        <v>1.5541148081619027</v>
      </c>
      <c r="F249" s="112">
        <f t="shared" si="106"/>
        <v>2.2782213118875756E-2</v>
      </c>
      <c r="G249" s="112">
        <f t="shared" si="105"/>
        <v>26.628018291567514</v>
      </c>
      <c r="H249" s="112" t="s">
        <v>142</v>
      </c>
      <c r="I249" s="112" t="e">
        <f>IF(N248&lt;-6,I253,I248)</f>
        <v>#N/A</v>
      </c>
      <c r="J249" s="112" t="e">
        <f>IF(N249&lt;-6,J253,J248)</f>
        <v>#N/A</v>
      </c>
      <c r="K249" s="112"/>
      <c r="L249" s="112" t="s">
        <v>143</v>
      </c>
      <c r="M249" s="112">
        <f>IF(N249&lt;-6,-6,N249)</f>
        <v>-1.6334304355139948</v>
      </c>
      <c r="N249" s="112">
        <f>-N248</f>
        <v>-1.6334304355139948</v>
      </c>
      <c r="O249" s="112" t="s">
        <v>144</v>
      </c>
      <c r="P249" s="112"/>
      <c r="Q249" s="112" t="s">
        <v>96</v>
      </c>
      <c r="R249" s="112"/>
      <c r="S249" s="112"/>
      <c r="T249" s="112"/>
      <c r="U249" s="112">
        <f>HLOOKUP(M244,M254:W264,8)</f>
        <v>-7.3405375999999994E-2</v>
      </c>
      <c r="V249" s="209"/>
      <c r="W249" s="209"/>
      <c r="X249" s="209"/>
      <c r="Y249" s="112" t="s">
        <v>96</v>
      </c>
      <c r="AA249" s="112" t="e">
        <f>HLOOKUP(AA243,AB257:AE267,7)</f>
        <v>#N/A</v>
      </c>
      <c r="AB249" s="112" t="e">
        <f>HLOOKUP(AB243,AB257:AE269,7)</f>
        <v>#N/A</v>
      </c>
      <c r="AC249" s="322" t="s">
        <v>141</v>
      </c>
      <c r="AD249" s="112" t="s">
        <v>122</v>
      </c>
      <c r="AE249" s="112" t="s">
        <v>123</v>
      </c>
      <c r="AP249" s="112"/>
      <c r="AQ249" s="112"/>
      <c r="AR249" s="112"/>
      <c r="AS249" s="112"/>
      <c r="AT249" s="112"/>
      <c r="AU249" s="112"/>
    </row>
    <row r="250" spans="2:47" hidden="1" x14ac:dyDescent="0.2">
      <c r="B250" s="112"/>
      <c r="C250" s="112"/>
      <c r="D250" s="112">
        <f t="shared" si="108"/>
        <v>6.273325437861596E-2</v>
      </c>
      <c r="E250" s="1">
        <f t="shared" si="107"/>
        <v>1.4753907796867702</v>
      </c>
      <c r="F250" s="112">
        <f t="shared" si="106"/>
        <v>2.3247156243750771E-2</v>
      </c>
      <c r="G250" s="112">
        <f t="shared" si="105"/>
        <v>26.125253181203572</v>
      </c>
      <c r="H250" s="112"/>
      <c r="I250" s="112"/>
      <c r="J250" s="112"/>
      <c r="K250" s="112"/>
      <c r="L250" s="112" t="s">
        <v>145</v>
      </c>
      <c r="M250" s="112">
        <f>1-NORMSDIST(M248)</f>
        <v>5.1189250128206853E-2</v>
      </c>
      <c r="N250" s="112"/>
      <c r="O250" s="112" t="s">
        <v>146</v>
      </c>
      <c r="P250" s="112" t="s">
        <v>147</v>
      </c>
      <c r="Q250" s="112" t="s">
        <v>98</v>
      </c>
      <c r="R250" s="112"/>
      <c r="S250" s="112"/>
      <c r="T250" s="112"/>
      <c r="U250" s="112">
        <f>HLOOKUP(M244,M254:W264,9)</f>
        <v>3.4964790000000003E-2</v>
      </c>
      <c r="V250" s="209"/>
      <c r="W250" s="209"/>
      <c r="X250" s="209"/>
      <c r="Y250" s="112" t="s">
        <v>98</v>
      </c>
      <c r="AA250" s="112" t="e">
        <f>HLOOKUP(AA243,AB257:AE267,8)</f>
        <v>#N/A</v>
      </c>
      <c r="AB250" s="112" t="e">
        <f>HLOOKUP(AB243,AB257:AE269,8)</f>
        <v>#N/A</v>
      </c>
      <c r="AC250" s="322" t="s">
        <v>102</v>
      </c>
      <c r="AD250" s="112" t="e">
        <f>(AA244/(($M$244-1)^AA245))+AA246</f>
        <v>#N/A</v>
      </c>
      <c r="AE250" s="112" t="e">
        <f>(AB244/(($M$244-1)^AB245))+AB246</f>
        <v>#N/A</v>
      </c>
      <c r="AP250" s="112"/>
      <c r="AQ250" s="112"/>
      <c r="AR250" s="112"/>
      <c r="AS250" s="112"/>
      <c r="AT250" s="112"/>
      <c r="AU250" s="112"/>
    </row>
    <row r="251" spans="2:47" hidden="1" x14ac:dyDescent="0.2">
      <c r="B251" s="112"/>
      <c r="C251" s="112"/>
      <c r="D251" s="112">
        <f t="shared" si="108"/>
        <v>6.3987919466188273E-2</v>
      </c>
      <c r="E251" s="1">
        <f t="shared" si="107"/>
        <v>1.4016020703774665</v>
      </c>
      <c r="F251" s="112">
        <f t="shared" si="106"/>
        <v>2.3712099368625787E-2</v>
      </c>
      <c r="G251" s="112">
        <f t="shared" si="105"/>
        <v>25.599682824165988</v>
      </c>
      <c r="H251" s="112"/>
      <c r="I251" s="112" t="e">
        <f>I245</f>
        <v>#N/A</v>
      </c>
      <c r="J251" s="112" t="e">
        <f>J245</f>
        <v>#N/A</v>
      </c>
      <c r="K251" s="112"/>
      <c r="L251" s="112" t="s">
        <v>148</v>
      </c>
      <c r="M251" s="112" t="e">
        <f>I249</f>
        <v>#N/A</v>
      </c>
      <c r="N251" s="112" t="s">
        <v>122</v>
      </c>
      <c r="O251" s="112">
        <f>(U243+(U245*M248)+(U247*(M248^2))+(U249*(M248^3))+(U251*(M248^4))+(U253*(M248^5)))/(1+(U244*M248)+(U246*(M248^2))+(U248*(M248^3))+(U250*(M248^4))+(U252*(M248^5)))</f>
        <v>6.8573993482150125E-3</v>
      </c>
      <c r="P251" s="112" t="e">
        <f>AD254</f>
        <v>#N/A</v>
      </c>
      <c r="Q251" s="112" t="s">
        <v>118</v>
      </c>
      <c r="R251" s="112"/>
      <c r="S251" s="112"/>
      <c r="T251" s="112"/>
      <c r="U251" s="112">
        <f>HLOOKUP(M244,M254:W264,10)</f>
        <v>1.8251033999999999E-2</v>
      </c>
      <c r="V251" s="209"/>
      <c r="W251" s="209"/>
      <c r="X251" s="209"/>
      <c r="Y251" s="112" t="s">
        <v>118</v>
      </c>
      <c r="AA251" s="112" t="e">
        <f>HLOOKUP(AA243,AB257:AE267,9)</f>
        <v>#N/A</v>
      </c>
      <c r="AB251" s="112" t="e">
        <f>HLOOKUP(AB243,AB257:AE269,9)</f>
        <v>#N/A</v>
      </c>
      <c r="AC251" s="322" t="s">
        <v>103</v>
      </c>
      <c r="AD251" s="112" t="e">
        <f>(AA247*($M$244-1)^AA248)*EXP(AA249*(LN($M$244-1))^2)</f>
        <v>#N/A</v>
      </c>
      <c r="AE251" s="112" t="e">
        <f>(AB247*($M$244-1)^AB248)*EXP(AB249*(LN($M$244-1))^2)</f>
        <v>#N/A</v>
      </c>
      <c r="AP251" s="112"/>
      <c r="AQ251" s="112"/>
      <c r="AR251" s="112"/>
      <c r="AS251" s="112"/>
      <c r="AT251" s="112"/>
      <c r="AU251" s="112"/>
    </row>
    <row r="252" spans="2:47" hidden="1" x14ac:dyDescent="0.2">
      <c r="B252" s="112"/>
      <c r="C252" s="112"/>
      <c r="D252" s="112">
        <f t="shared" si="108"/>
        <v>6.5242584553760585E-2</v>
      </c>
      <c r="E252" s="1">
        <f t="shared" si="107"/>
        <v>1.3323785649130595</v>
      </c>
      <c r="F252" s="112">
        <f t="shared" si="106"/>
        <v>2.4177042493500802E-2</v>
      </c>
      <c r="G252" s="112">
        <f t="shared" si="105"/>
        <v>25.053077184864392</v>
      </c>
      <c r="H252" s="112"/>
      <c r="I252" s="112" t="e">
        <f>FIXED(I251,3)</f>
        <v>#N/A</v>
      </c>
      <c r="J252" s="112" t="e">
        <f>FIXED(J251,3)</f>
        <v>#N/A</v>
      </c>
      <c r="K252" s="112"/>
      <c r="L252" s="112" t="s">
        <v>149</v>
      </c>
      <c r="M252" s="112" t="e">
        <f>J249</f>
        <v>#N/A</v>
      </c>
      <c r="N252" s="112" t="s">
        <v>123</v>
      </c>
      <c r="O252" s="112">
        <f>1-((U243+(U245*M249)+(U247*(M249^2))+(U249*(M249^3))+(U251*(M249^4))+(U253*(M249^5)))/(1+(U244*M249)+(U246*(M249^2))+(U248*(M249^3))+(U250*(M249^4))+(U252*(M249^5))))</f>
        <v>0.2287000274468759</v>
      </c>
      <c r="P252" s="112" t="e">
        <f>1-AE254</f>
        <v>#N/A</v>
      </c>
      <c r="Q252" s="112" t="s">
        <v>119</v>
      </c>
      <c r="R252" s="112"/>
      <c r="S252" s="112"/>
      <c r="T252" s="112"/>
      <c r="U252" s="112">
        <f>HLOOKUP(M244,M254:W264,11)</f>
        <v>-1.1924843000000001E-3</v>
      </c>
      <c r="V252" s="209"/>
      <c r="W252" s="209"/>
      <c r="X252" s="209"/>
      <c r="Y252" s="112" t="s">
        <v>119</v>
      </c>
      <c r="AA252" s="112" t="e">
        <f>HLOOKUP(AA243,AB257:AE267,10)</f>
        <v>#N/A</v>
      </c>
      <c r="AB252" s="112" t="e">
        <f>HLOOKUP(AB243,AB257:AE269,10)</f>
        <v>#N/A</v>
      </c>
      <c r="AC252" s="322" t="s">
        <v>106</v>
      </c>
      <c r="AD252" s="112" t="e">
        <f>(AA250/($M$244-1)^AA251)+AA252</f>
        <v>#N/A</v>
      </c>
      <c r="AE252" s="112" t="e">
        <f>(AB250/($M$244-1)^AB251)+AB252</f>
        <v>#N/A</v>
      </c>
      <c r="AP252" s="112"/>
      <c r="AQ252" s="112"/>
      <c r="AR252" s="112"/>
      <c r="AS252" s="112"/>
      <c r="AT252" s="112"/>
      <c r="AU252" s="112"/>
    </row>
    <row r="253" spans="2:47" hidden="1" x14ac:dyDescent="0.2">
      <c r="B253" s="112"/>
      <c r="C253" s="112"/>
      <c r="D253" s="112">
        <f t="shared" si="108"/>
        <v>6.6497249641332898E-2</v>
      </c>
      <c r="E253" s="1">
        <f t="shared" si="107"/>
        <v>1.2673824835120937</v>
      </c>
      <c r="F253" s="112">
        <f t="shared" si="106"/>
        <v>2.4641985618375817E-2</v>
      </c>
      <c r="G253" s="112">
        <f t="shared" si="105"/>
        <v>24.487248221394051</v>
      </c>
      <c r="H253" s="112"/>
      <c r="I253" s="112" t="e">
        <f>CONCATENATE("&gt;",I252)</f>
        <v>#N/A</v>
      </c>
      <c r="J253" s="112" t="e">
        <f>CONCATENATE("&lt;",J252)</f>
        <v>#N/A</v>
      </c>
      <c r="K253" s="112"/>
      <c r="L253" s="112" t="s">
        <v>150</v>
      </c>
      <c r="M253" s="112"/>
      <c r="N253" s="112"/>
      <c r="O253" s="112"/>
      <c r="P253" s="112"/>
      <c r="Q253" s="112" t="s">
        <v>151</v>
      </c>
      <c r="R253" s="112"/>
      <c r="S253" s="112"/>
      <c r="T253" s="112"/>
      <c r="U253" s="112">
        <f>HLOOKUP(M244,M254:W265,12)</f>
        <v>-2.1651985999999999E-3</v>
      </c>
      <c r="V253" s="209"/>
      <c r="W253" s="209"/>
      <c r="X253" s="209"/>
      <c r="Y253" s="112" t="s">
        <v>151</v>
      </c>
      <c r="AA253" s="112" t="e">
        <f>HLOOKUP(AA243,AB257:AE269,11)</f>
        <v>#N/A</v>
      </c>
      <c r="AB253" s="112" t="e">
        <f>HLOOKUP(AB243,AB257:AE269,11)</f>
        <v>#N/A</v>
      </c>
      <c r="AC253" s="322" t="s">
        <v>109</v>
      </c>
      <c r="AD253" s="112" t="e">
        <f>(AA253/($M$244-1)^AA254)+AA255</f>
        <v>#N/A</v>
      </c>
      <c r="AE253" s="112" t="e">
        <f>(AB253/($M$244-1)^AB254)+AB255</f>
        <v>#N/A</v>
      </c>
      <c r="AP253" s="112"/>
      <c r="AQ253" s="112"/>
      <c r="AR253" s="112"/>
      <c r="AS253" s="112"/>
      <c r="AT253" s="112"/>
      <c r="AU253" s="112"/>
    </row>
    <row r="254" spans="2:47" hidden="1" x14ac:dyDescent="0.2">
      <c r="B254" s="112"/>
      <c r="C254" s="112"/>
      <c r="D254" s="112">
        <f t="shared" si="108"/>
        <v>6.775191472890521E-2</v>
      </c>
      <c r="E254" s="1">
        <f t="shared" si="107"/>
        <v>1.2063051590677671</v>
      </c>
      <c r="F254" s="112">
        <f t="shared" si="106"/>
        <v>2.5106928743250833E-2</v>
      </c>
      <c r="G254" s="112">
        <f t="shared" si="105"/>
        <v>23.904039957168926</v>
      </c>
      <c r="H254" s="112"/>
      <c r="I254" s="112"/>
      <c r="J254" s="112"/>
      <c r="K254" s="112"/>
      <c r="L254" s="112" t="s">
        <v>44</v>
      </c>
      <c r="M254" s="112">
        <v>2</v>
      </c>
      <c r="N254" s="112">
        <v>3</v>
      </c>
      <c r="O254" s="112">
        <v>4</v>
      </c>
      <c r="P254" s="112">
        <v>5</v>
      </c>
      <c r="Q254" s="112">
        <v>6</v>
      </c>
      <c r="R254" s="112"/>
      <c r="S254" s="112"/>
      <c r="T254" s="112"/>
      <c r="U254" s="112">
        <v>7</v>
      </c>
      <c r="V254" s="209">
        <v>8</v>
      </c>
      <c r="W254" s="209">
        <v>9</v>
      </c>
      <c r="X254" s="209"/>
      <c r="Y254" s="112" t="s">
        <v>153</v>
      </c>
      <c r="AA254" s="112" t="e">
        <f>HLOOKUP(AA243,AB257:AE269,12)</f>
        <v>#N/A</v>
      </c>
      <c r="AB254" s="112" t="e">
        <f>HLOOKUP(AB243,AB257:AE269,12)</f>
        <v>#N/A</v>
      </c>
      <c r="AC254" s="322" t="s">
        <v>152</v>
      </c>
      <c r="AD254" s="112" t="e">
        <f>(1+EXP(-(AD250*AA242+AD251*AA242^2+AD252*AA242^3)))^AD253</f>
        <v>#N/A</v>
      </c>
      <c r="AE254" s="112" t="e">
        <f>(1+EXP(-(AE250*AB242+AE251*AB242^2+AE252*AB242^3)))^AE253</f>
        <v>#N/A</v>
      </c>
      <c r="AP254" s="112"/>
      <c r="AQ254" s="112"/>
      <c r="AR254" s="112"/>
      <c r="AS254" s="112"/>
      <c r="AT254" s="112"/>
      <c r="AU254" s="112"/>
    </row>
    <row r="255" spans="2:47" hidden="1" x14ac:dyDescent="0.2">
      <c r="B255" s="112"/>
      <c r="C255" s="112"/>
      <c r="D255" s="112">
        <f t="shared" si="108"/>
        <v>6.9006579816477523E-2</v>
      </c>
      <c r="E255" s="1">
        <f t="shared" si="107"/>
        <v>1.1488641745982906</v>
      </c>
      <c r="F255" s="112">
        <f t="shared" si="106"/>
        <v>2.5571871868125848E-2</v>
      </c>
      <c r="G255" s="112">
        <f t="shared" si="105"/>
        <v>23.305318570864912</v>
      </c>
      <c r="H255" s="112"/>
      <c r="I255" s="112"/>
      <c r="J255" s="112"/>
      <c r="K255" s="112"/>
      <c r="L255" s="112" t="s">
        <v>84</v>
      </c>
      <c r="M255" s="112">
        <v>0.122639</v>
      </c>
      <c r="N255" s="112">
        <v>0.17093583000000001</v>
      </c>
      <c r="O255" s="112">
        <v>0.20527676</v>
      </c>
      <c r="P255" s="112">
        <v>0.23087629000000001</v>
      </c>
      <c r="Q255" s="112">
        <v>0.25087348999999998</v>
      </c>
      <c r="R255" s="112"/>
      <c r="S255" s="112"/>
      <c r="T255" s="112"/>
      <c r="U255" s="112">
        <v>0.26701313999999998</v>
      </c>
      <c r="V255" s="209">
        <v>0.28035885999999999</v>
      </c>
      <c r="W255" s="209">
        <v>0.29158510999999998</v>
      </c>
      <c r="X255" s="209"/>
      <c r="Y255" s="112"/>
      <c r="AA255" s="112" t="e">
        <f>HLOOKUP(AA243,AB257:AE269,13)</f>
        <v>#N/A</v>
      </c>
      <c r="AB255" s="112" t="e">
        <f>HLOOKUP(AB243,AB257:AE269,13)</f>
        <v>#N/A</v>
      </c>
      <c r="AP255" s="112"/>
      <c r="AQ255" s="112"/>
      <c r="AR255" s="112"/>
      <c r="AS255" s="112"/>
      <c r="AT255" s="112"/>
      <c r="AU255" s="112"/>
    </row>
    <row r="256" spans="2:47" hidden="1" x14ac:dyDescent="0.2">
      <c r="B256" s="112"/>
      <c r="C256" s="112"/>
      <c r="D256" s="112">
        <f t="shared" si="108"/>
        <v>7.0261244904049835E-2</v>
      </c>
      <c r="E256" s="1">
        <f t="shared" si="107"/>
        <v>1.0948008164492455</v>
      </c>
      <c r="F256" s="112">
        <f t="shared" si="106"/>
        <v>2.6036814993000864E-2</v>
      </c>
      <c r="G256" s="112">
        <f t="shared" si="105"/>
        <v>22.692962578280749</v>
      </c>
      <c r="H256" s="112"/>
      <c r="I256" s="112"/>
      <c r="J256" s="112"/>
      <c r="K256" s="112"/>
      <c r="L256" s="112" t="s">
        <v>86</v>
      </c>
      <c r="M256" s="112">
        <v>-1.1838880000000001</v>
      </c>
      <c r="N256" s="112">
        <v>-0.36372227000000001</v>
      </c>
      <c r="O256" s="112">
        <v>-0.3756623</v>
      </c>
      <c r="P256" s="112">
        <v>-0.32948210999999999</v>
      </c>
      <c r="Q256" s="112">
        <v>-0.30146272000000002</v>
      </c>
      <c r="R256" s="112"/>
      <c r="S256" s="112"/>
      <c r="T256" s="112"/>
      <c r="U256" s="112">
        <v>-0.26555197000000003</v>
      </c>
      <c r="V256" s="209">
        <v>-0.21322136999999999</v>
      </c>
      <c r="W256" s="209">
        <v>-0.14267075000000001</v>
      </c>
      <c r="X256" s="209"/>
      <c r="Y256" s="112"/>
      <c r="AA256" s="112" t="s">
        <v>293</v>
      </c>
      <c r="AB256" s="112"/>
      <c r="AP256" s="112"/>
      <c r="AQ256" s="112"/>
      <c r="AR256" s="112"/>
      <c r="AS256" s="112"/>
      <c r="AT256" s="112"/>
      <c r="AU256" s="112"/>
    </row>
    <row r="257" spans="2:47" hidden="1" x14ac:dyDescent="0.2">
      <c r="B257" s="112"/>
      <c r="C257" s="112"/>
      <c r="D257" s="112">
        <f t="shared" si="108"/>
        <v>7.1515909991622148E-2</v>
      </c>
      <c r="E257" s="1">
        <f t="shared" si="107"/>
        <v>1.0438778047115975</v>
      </c>
      <c r="F257" s="112">
        <f t="shared" si="106"/>
        <v>2.6501758117875879E-2</v>
      </c>
      <c r="G257" s="112">
        <f t="shared" si="105"/>
        <v>22.068853177216919</v>
      </c>
      <c r="H257" s="112"/>
      <c r="I257" s="112"/>
      <c r="J257" s="112"/>
      <c r="K257" s="112"/>
      <c r="L257" s="112" t="s">
        <v>88</v>
      </c>
      <c r="M257" s="112">
        <v>-0.30512797000000003</v>
      </c>
      <c r="N257" s="112">
        <v>-0.28537456999999999</v>
      </c>
      <c r="O257" s="112">
        <v>-0.33810835</v>
      </c>
      <c r="P257" s="112">
        <v>-0.36170946999999998</v>
      </c>
      <c r="Q257" s="112">
        <v>-0.37871919999999998</v>
      </c>
      <c r="R257" s="112"/>
      <c r="S257" s="112"/>
      <c r="T257" s="112"/>
      <c r="U257" s="112">
        <v>-0.38705350999999999</v>
      </c>
      <c r="V257" s="209">
        <v>-0.38608726999999998</v>
      </c>
      <c r="W257" s="209">
        <v>-0.37596357000000002</v>
      </c>
      <c r="X257" s="209"/>
      <c r="Y257" s="112"/>
      <c r="AA257" s="112" t="s">
        <v>294</v>
      </c>
      <c r="AB257" s="112" t="s">
        <v>154</v>
      </c>
      <c r="AC257" s="322" t="s">
        <v>155</v>
      </c>
      <c r="AD257" s="112" t="s">
        <v>156</v>
      </c>
      <c r="AP257" s="112"/>
      <c r="AQ257" s="112"/>
      <c r="AR257" s="112"/>
      <c r="AS257" s="112"/>
      <c r="AT257" s="112"/>
      <c r="AU257" s="112"/>
    </row>
    <row r="258" spans="2:47" hidden="1" x14ac:dyDescent="0.2">
      <c r="B258" s="112"/>
      <c r="C258" s="112"/>
      <c r="D258" s="112">
        <f t="shared" si="108"/>
        <v>7.2770575079194461E-2</v>
      </c>
      <c r="E258" s="1">
        <f t="shared" si="107"/>
        <v>0.9958772674633618</v>
      </c>
      <c r="F258" s="112">
        <f t="shared" si="106"/>
        <v>2.6966701242750895E-2</v>
      </c>
      <c r="G258" s="112">
        <f t="shared" si="105"/>
        <v>21.434864823318101</v>
      </c>
      <c r="H258" s="112"/>
      <c r="I258" s="112"/>
      <c r="J258" s="112"/>
      <c r="K258" s="112"/>
      <c r="L258" s="112" t="s">
        <v>90</v>
      </c>
      <c r="M258" s="112">
        <v>1.0256620000000001</v>
      </c>
      <c r="N258" s="112">
        <v>0.34851211999999998</v>
      </c>
      <c r="O258" s="112">
        <v>0.36738494999999999</v>
      </c>
      <c r="P258" s="112">
        <v>0.35945666999999998</v>
      </c>
      <c r="Q258" s="112">
        <v>0.3687124</v>
      </c>
      <c r="R258" s="112"/>
      <c r="S258" s="112"/>
      <c r="T258" s="112"/>
      <c r="U258" s="112">
        <v>0.38401727000000002</v>
      </c>
      <c r="V258" s="209">
        <v>0.40265771</v>
      </c>
      <c r="W258" s="209">
        <v>0.41758212</v>
      </c>
      <c r="X258" s="209"/>
      <c r="Y258" s="112"/>
      <c r="AA258" s="112" t="s">
        <v>295</v>
      </c>
      <c r="AB258" s="112">
        <v>1</v>
      </c>
      <c r="AC258" s="322">
        <v>2</v>
      </c>
      <c r="AD258" s="112">
        <v>3</v>
      </c>
      <c r="AP258" s="112"/>
      <c r="AQ258" s="112"/>
      <c r="AR258" s="112"/>
      <c r="AS258" s="112"/>
      <c r="AT258" s="112"/>
      <c r="AU258" s="112"/>
    </row>
    <row r="259" spans="2:47" hidden="1" x14ac:dyDescent="0.2">
      <c r="B259" s="112"/>
      <c r="C259" s="112"/>
      <c r="D259" s="112">
        <f t="shared" si="108"/>
        <v>7.4025240166766773E-2</v>
      </c>
      <c r="E259" s="1">
        <f t="shared" si="107"/>
        <v>0.95059892984330907</v>
      </c>
      <c r="F259" s="112">
        <f t="shared" si="106"/>
        <v>2.743164436762591E-2</v>
      </c>
      <c r="G259" s="112">
        <f t="shared" si="105"/>
        <v>20.792856101073355</v>
      </c>
      <c r="H259" s="112"/>
      <c r="I259" s="112"/>
      <c r="J259" s="112"/>
      <c r="K259" s="112"/>
      <c r="L259" s="112" t="s">
        <v>92</v>
      </c>
      <c r="M259" s="112">
        <v>0.30466958999999999</v>
      </c>
      <c r="N259" s="112">
        <v>0.16073371</v>
      </c>
      <c r="O259" s="112">
        <v>0.20373584</v>
      </c>
      <c r="P259" s="112">
        <v>0.21196251999999999</v>
      </c>
      <c r="Q259" s="112">
        <v>0.22058760999999999</v>
      </c>
      <c r="R259" s="112"/>
      <c r="S259" s="112"/>
      <c r="T259" s="112"/>
      <c r="U259" s="112">
        <v>0.22384308999999999</v>
      </c>
      <c r="V259" s="209">
        <v>0.22000681999999999</v>
      </c>
      <c r="W259" s="209">
        <v>0.2072291</v>
      </c>
      <c r="X259" s="209"/>
      <c r="Y259" s="112"/>
      <c r="AA259" s="112" t="s">
        <v>84</v>
      </c>
      <c r="AB259" s="112">
        <v>0.82705587999999997</v>
      </c>
      <c r="AC259" s="322">
        <v>0.91590419999999995</v>
      </c>
      <c r="AP259" s="112"/>
      <c r="AQ259" s="112"/>
      <c r="AR259" s="112"/>
      <c r="AS259" s="112"/>
      <c r="AT259" s="112"/>
      <c r="AU259" s="112"/>
    </row>
    <row r="260" spans="2:47" hidden="1" x14ac:dyDescent="0.2">
      <c r="B260" s="112"/>
      <c r="C260" s="112"/>
      <c r="D260" s="112">
        <f t="shared" si="108"/>
        <v>7.5279905254339086E-2</v>
      </c>
      <c r="E260" s="1">
        <f t="shared" si="107"/>
        <v>0.90785849273733454</v>
      </c>
      <c r="F260" s="112">
        <f t="shared" si="106"/>
        <v>2.7896587492500926E-2</v>
      </c>
      <c r="G260" s="112">
        <f t="shared" si="105"/>
        <v>20.144660949877547</v>
      </c>
      <c r="H260" s="112"/>
      <c r="I260" s="112"/>
      <c r="J260" s="112"/>
      <c r="K260" s="112"/>
      <c r="L260" s="112" t="s">
        <v>117</v>
      </c>
      <c r="M260" s="112">
        <v>-0.32067477999999999</v>
      </c>
      <c r="N260" s="112">
        <v>5.4071371E-2</v>
      </c>
      <c r="O260" s="112">
        <v>1.8923967999999999E-2</v>
      </c>
      <c r="P260" s="112">
        <v>1.9458265999999998E-2</v>
      </c>
      <c r="Q260" s="112">
        <v>1.6283799000000002E-2</v>
      </c>
      <c r="R260" s="112"/>
      <c r="S260" s="112"/>
      <c r="T260" s="112"/>
      <c r="U260" s="112">
        <v>1.5667727999999999E-2</v>
      </c>
      <c r="V260" s="209">
        <v>1.8042944000000002E-2</v>
      </c>
      <c r="W260" s="209">
        <v>2.3635476999999998E-2</v>
      </c>
      <c r="X260" s="209"/>
      <c r="Y260" s="112"/>
      <c r="AA260" s="112" t="s">
        <v>86</v>
      </c>
      <c r="AB260" s="112">
        <v>0.47348657999999999</v>
      </c>
      <c r="AC260" s="322">
        <v>0.46749900999999999</v>
      </c>
      <c r="AP260" s="112"/>
      <c r="AQ260" s="112"/>
      <c r="AR260" s="112"/>
      <c r="AS260" s="112"/>
      <c r="AT260" s="112"/>
      <c r="AU260" s="112"/>
    </row>
    <row r="261" spans="2:47" hidden="1" x14ac:dyDescent="0.2">
      <c r="B261" s="112"/>
      <c r="C261" s="112"/>
      <c r="D261" s="112">
        <f t="shared" si="108"/>
        <v>7.6534570341911398E-2</v>
      </c>
      <c r="E261" s="1">
        <f t="shared" si="107"/>
        <v>0.86748617909830583</v>
      </c>
      <c r="F261" s="112">
        <f t="shared" si="106"/>
        <v>2.8361530617375941E-2</v>
      </c>
      <c r="G261" s="112">
        <f t="shared" si="105"/>
        <v>19.492080300289626</v>
      </c>
      <c r="H261" s="112"/>
      <c r="I261" s="112"/>
      <c r="J261" s="112"/>
      <c r="K261" s="112"/>
      <c r="L261" s="112" t="s">
        <v>96</v>
      </c>
      <c r="M261" s="112">
        <v>-0.15112919999999999</v>
      </c>
      <c r="N261" s="112">
        <v>-2.5966434E-2</v>
      </c>
      <c r="O261" s="112">
        <v>-4.9770350999999997E-2</v>
      </c>
      <c r="P261" s="112">
        <v>-5.3579347999999999E-2</v>
      </c>
      <c r="Q261" s="112">
        <v>-6.0450757000000001E-2</v>
      </c>
      <c r="R261" s="112"/>
      <c r="S261" s="112"/>
      <c r="T261" s="112"/>
      <c r="U261" s="112">
        <v>-6.6696571999999996E-2</v>
      </c>
      <c r="V261" s="209">
        <v>-7.1663981000000002E-2</v>
      </c>
      <c r="W261" s="209">
        <v>-7.3405375999999994E-2</v>
      </c>
      <c r="X261" s="209"/>
      <c r="Y261" s="112"/>
      <c r="AA261" s="112" t="s">
        <v>88</v>
      </c>
      <c r="AB261" s="112">
        <v>-1.5959026000000001</v>
      </c>
      <c r="AC261" s="322">
        <v>-1.5978413</v>
      </c>
      <c r="AP261" s="112"/>
      <c r="AQ261" s="112"/>
      <c r="AR261" s="112"/>
      <c r="AS261" s="112"/>
      <c r="AT261" s="112"/>
      <c r="AU261" s="112"/>
    </row>
    <row r="262" spans="2:47" hidden="1" x14ac:dyDescent="0.2">
      <c r="B262" s="112"/>
      <c r="C262" s="112"/>
      <c r="D262" s="112">
        <f t="shared" si="108"/>
        <v>7.7789235429483711E-2</v>
      </c>
      <c r="E262" s="1">
        <f t="shared" si="107"/>
        <v>0.82932542870918613</v>
      </c>
      <c r="F262" s="112">
        <f t="shared" si="106"/>
        <v>2.8826473742250957E-2</v>
      </c>
      <c r="G262" s="112">
        <f t="shared" si="105"/>
        <v>18.836874170445782</v>
      </c>
      <c r="H262" s="112"/>
      <c r="I262" s="112"/>
      <c r="J262" s="112"/>
      <c r="K262" s="112"/>
      <c r="L262" s="112" t="s">
        <v>98</v>
      </c>
      <c r="M262" s="112">
        <v>6.1852348000000001E-2</v>
      </c>
      <c r="N262" s="112">
        <v>2.9958179999999999E-3</v>
      </c>
      <c r="O262" s="112">
        <v>1.1064938999999999E-2</v>
      </c>
      <c r="P262" s="112">
        <v>1.5386764000000001E-2</v>
      </c>
      <c r="Q262" s="112">
        <v>2.0005907999999999E-2</v>
      </c>
      <c r="R262" s="112"/>
      <c r="S262" s="112"/>
      <c r="T262" s="112"/>
      <c r="U262" s="112">
        <v>2.4962675E-2</v>
      </c>
      <c r="V262" s="209">
        <v>3.0244938999999998E-2</v>
      </c>
      <c r="W262" s="209">
        <v>3.4964790000000003E-2</v>
      </c>
      <c r="X262" s="209"/>
      <c r="Y262" s="112"/>
      <c r="AA262" s="112" t="s">
        <v>90</v>
      </c>
      <c r="AB262" s="112">
        <v>-0.35885104000000001</v>
      </c>
      <c r="AC262" s="322">
        <v>-0.21867454</v>
      </c>
      <c r="AP262" s="112"/>
      <c r="AQ262" s="112"/>
      <c r="AR262" s="112"/>
      <c r="AS262" s="112"/>
      <c r="AT262" s="112"/>
      <c r="AU262" s="112"/>
    </row>
    <row r="263" spans="2:47" hidden="1" x14ac:dyDescent="0.2">
      <c r="B263" s="112"/>
      <c r="C263" s="112"/>
      <c r="D263" s="112">
        <f t="shared" si="108"/>
        <v>7.9043900517056023E-2</v>
      </c>
      <c r="E263" s="1">
        <f t="shared" si="107"/>
        <v>0.79323172460444236</v>
      </c>
      <c r="F263" s="112">
        <f t="shared" si="106"/>
        <v>2.9291416867125972E-2</v>
      </c>
      <c r="G263" s="112">
        <f t="shared" si="105"/>
        <v>18.180754267066689</v>
      </c>
      <c r="H263" s="112"/>
      <c r="I263" s="112"/>
      <c r="J263" s="112"/>
      <c r="K263" s="112"/>
      <c r="L263" s="112" t="s">
        <v>118</v>
      </c>
      <c r="M263" s="112">
        <v>3.6997109E-2</v>
      </c>
      <c r="N263" s="112">
        <v>-5.0019868000000002E-3</v>
      </c>
      <c r="O263" s="112">
        <v>2.4343744000000001E-3</v>
      </c>
      <c r="P263" s="112">
        <v>4.2734938999999996E-3</v>
      </c>
      <c r="Q263" s="112">
        <v>7.4082788999999998E-3</v>
      </c>
      <c r="R263" s="112"/>
      <c r="S263" s="112"/>
      <c r="T263" s="112"/>
      <c r="U263" s="112">
        <v>1.0898191999999999E-2</v>
      </c>
      <c r="V263" s="209">
        <v>1.4749941000000001E-2</v>
      </c>
      <c r="W263" s="209">
        <v>1.8251033999999999E-2</v>
      </c>
      <c r="X263" s="209"/>
      <c r="Y263" s="112"/>
      <c r="AA263" s="112" t="s">
        <v>92</v>
      </c>
      <c r="AB263" s="112">
        <v>-0.37623580000000001</v>
      </c>
      <c r="AC263" s="322">
        <v>-0.16711346999999999</v>
      </c>
      <c r="AP263" s="112"/>
      <c r="AQ263" s="112"/>
      <c r="AR263" s="112"/>
      <c r="AS263" s="112"/>
      <c r="AT263" s="112"/>
      <c r="AU263" s="112"/>
    </row>
    <row r="264" spans="2:47" hidden="1" x14ac:dyDescent="0.2">
      <c r="B264" s="112"/>
      <c r="C264" s="112"/>
      <c r="D264" s="112">
        <f t="shared" si="108"/>
        <v>8.0298565604628336E-2</v>
      </c>
      <c r="E264" s="1">
        <f t="shared" si="107"/>
        <v>0.75907153644303527</v>
      </c>
      <c r="F264" s="112">
        <f t="shared" si="106"/>
        <v>2.9756359992000988E-2</v>
      </c>
      <c r="G264" s="112">
        <f t="shared" si="105"/>
        <v>17.52537712971127</v>
      </c>
      <c r="H264" s="112"/>
      <c r="I264" s="112"/>
      <c r="J264" s="112"/>
      <c r="K264" s="112"/>
      <c r="L264" s="112" t="s">
        <v>119</v>
      </c>
      <c r="M264" s="112">
        <v>-2.3723692000000001E-3</v>
      </c>
      <c r="N264" s="112">
        <v>1.6331608000000001E-3</v>
      </c>
      <c r="O264" s="112">
        <v>8.5720372000000001E-4</v>
      </c>
      <c r="P264" s="112">
        <v>7.5015010999999999E-4</v>
      </c>
      <c r="Q264" s="112">
        <v>3.9892654999999999E-4</v>
      </c>
      <c r="R264" s="112"/>
      <c r="S264" s="112"/>
      <c r="T264" s="112"/>
      <c r="U264" s="112">
        <v>-4.2375686000000003E-5</v>
      </c>
      <c r="V264" s="209">
        <v>-6.0041754000000002E-4</v>
      </c>
      <c r="W264" s="209">
        <v>-1.1924843000000001E-3</v>
      </c>
      <c r="X264" s="209"/>
      <c r="Y264" s="112"/>
      <c r="AA264" s="112" t="s">
        <v>117</v>
      </c>
      <c r="AB264" s="112">
        <v>-5.9178008999999998E-3</v>
      </c>
      <c r="AC264" s="322">
        <v>-5.5872009E-2</v>
      </c>
      <c r="AP264" s="112"/>
      <c r="AQ264" s="112"/>
      <c r="AR264" s="112"/>
      <c r="AS264" s="112"/>
      <c r="AT264" s="112"/>
      <c r="AU264" s="112"/>
    </row>
    <row r="265" spans="2:47" hidden="1" x14ac:dyDescent="0.2">
      <c r="B265" s="112"/>
      <c r="C265" s="112"/>
      <c r="D265" s="112">
        <f t="shared" si="108"/>
        <v>8.1553230692200648E-2</v>
      </c>
      <c r="E265" s="1">
        <f t="shared" ref="E265:E296" si="109">(EXP(((LN(D265)-$AB$15)^2)/(-2*($AB$16^2))))/(D265*$AB$16*SQRT(2*PI()))</f>
        <v>0.72672136792544328</v>
      </c>
      <c r="F265" s="112">
        <f t="shared" si="106"/>
        <v>3.0221303116876003E-2</v>
      </c>
      <c r="G265" s="112">
        <f t="shared" si="105"/>
        <v>16.872337850946696</v>
      </c>
      <c r="H265" s="112"/>
      <c r="I265" s="112"/>
      <c r="J265" s="112"/>
      <c r="K265" s="112"/>
      <c r="L265" s="112" t="s">
        <v>151</v>
      </c>
      <c r="M265" s="112">
        <v>-3.5624416000000002E-3</v>
      </c>
      <c r="N265" s="112">
        <v>1.4215249000000001E-3</v>
      </c>
      <c r="O265" s="112">
        <v>5.0349027E-4</v>
      </c>
      <c r="P265" s="112">
        <v>1.9427452000000001E-4</v>
      </c>
      <c r="Q265" s="112">
        <v>-2.7967341000000002E-4</v>
      </c>
      <c r="R265" s="112"/>
      <c r="S265" s="112"/>
      <c r="T265" s="112"/>
      <c r="U265" s="112">
        <v>-8.3411654999999995E-4</v>
      </c>
      <c r="V265" s="209">
        <v>-1.4920275000000001E-3</v>
      </c>
      <c r="W265" s="209">
        <v>-2.1651985999999999E-3</v>
      </c>
      <c r="X265" s="209"/>
      <c r="Y265" s="112"/>
      <c r="AA265" s="112" t="s">
        <v>96</v>
      </c>
      <c r="AB265" s="112">
        <v>5.2553183000000003E-2</v>
      </c>
      <c r="AC265" s="322">
        <v>7.8057825999999997E-2</v>
      </c>
      <c r="AP265" s="112"/>
      <c r="AQ265" s="112"/>
      <c r="AR265" s="112"/>
      <c r="AS265" s="112"/>
      <c r="AT265" s="112"/>
      <c r="AU265" s="112"/>
    </row>
    <row r="266" spans="2:47" hidden="1" x14ac:dyDescent="0.2">
      <c r="B266" s="112"/>
      <c r="C266" s="112"/>
      <c r="D266" s="112">
        <f t="shared" ref="D266:D300" si="110">D265+$E$198</f>
        <v>8.2807895779772961E-2</v>
      </c>
      <c r="E266" s="1">
        <f t="shared" si="109"/>
        <v>0.696066896907512</v>
      </c>
      <c r="F266" s="112">
        <f t="shared" si="106"/>
        <v>3.0686246241751019E-2</v>
      </c>
      <c r="G266" s="112">
        <f t="shared" ref="G266:G300" si="111">_xlfn.NORM.DIST(F266,$AB$12,$AB$14,FALSE)</f>
        <v>16.223164398999526</v>
      </c>
      <c r="H266" s="112"/>
      <c r="I266" s="112"/>
      <c r="J266" s="112"/>
      <c r="K266" s="112"/>
      <c r="L266" s="112"/>
      <c r="M266" s="112"/>
      <c r="N266" s="112"/>
      <c r="O266" s="112"/>
      <c r="P266" s="112"/>
      <c r="Q266" s="112"/>
      <c r="R266" s="112"/>
      <c r="S266" s="112"/>
      <c r="T266" s="112"/>
      <c r="U266" s="112"/>
      <c r="V266" s="209"/>
      <c r="W266" s="209"/>
      <c r="X266" s="209"/>
      <c r="Y266" s="112"/>
      <c r="AA266" s="112" t="s">
        <v>98</v>
      </c>
      <c r="AB266" s="112">
        <v>0.26488682000000002</v>
      </c>
      <c r="AC266" s="322">
        <v>0.28495322000000001</v>
      </c>
      <c r="AP266" s="112"/>
      <c r="AQ266" s="112"/>
      <c r="AR266" s="112"/>
      <c r="AS266" s="112"/>
      <c r="AT266" s="112"/>
      <c r="AU266" s="112"/>
    </row>
    <row r="267" spans="2:47" hidden="1" x14ac:dyDescent="0.2">
      <c r="B267" s="112"/>
      <c r="C267" s="112"/>
      <c r="D267" s="112">
        <f t="shared" si="110"/>
        <v>8.4062560867345273E-2</v>
      </c>
      <c r="E267" s="1">
        <f t="shared" si="109"/>
        <v>0.66700219821960816</v>
      </c>
      <c r="F267" s="112">
        <f t="shared" ref="F267:F300" si="112">F266+$G$198</f>
        <v>3.1151189366626034E-2</v>
      </c>
      <c r="G267" s="112">
        <f t="shared" si="111"/>
        <v>15.579312563297208</v>
      </c>
      <c r="H267" s="112"/>
      <c r="I267" s="112"/>
      <c r="J267" s="112"/>
      <c r="K267" s="112"/>
      <c r="L267" s="112"/>
      <c r="M267" s="112"/>
      <c r="N267" s="112"/>
      <c r="O267" s="112"/>
      <c r="P267" s="112"/>
      <c r="Q267" s="112"/>
      <c r="R267" s="112"/>
      <c r="S267" s="112"/>
      <c r="T267" s="112"/>
      <c r="U267" s="112"/>
      <c r="V267" s="209"/>
      <c r="W267" s="209"/>
      <c r="X267" s="209"/>
      <c r="Y267" s="112"/>
      <c r="AA267" s="112" t="s">
        <v>118</v>
      </c>
      <c r="AB267" s="112">
        <v>-7.5413666000000004E-2</v>
      </c>
      <c r="AC267" s="322">
        <v>-7.3167856000000003E-2</v>
      </c>
      <c r="AP267" s="112"/>
      <c r="AQ267" s="112"/>
      <c r="AR267" s="112"/>
      <c r="AS267" s="112"/>
      <c r="AT267" s="112"/>
      <c r="AU267" s="112"/>
    </row>
    <row r="268" spans="2:47" hidden="1" x14ac:dyDescent="0.2">
      <c r="B268" s="112"/>
      <c r="C268" s="112"/>
      <c r="D268" s="112">
        <f t="shared" si="110"/>
        <v>8.5317225954917586E-2</v>
      </c>
      <c r="E268" s="1">
        <f t="shared" si="109"/>
        <v>0.63942904037943271</v>
      </c>
      <c r="F268" s="112">
        <f t="shared" si="112"/>
        <v>3.1616132491501046E-2</v>
      </c>
      <c r="G268" s="112">
        <f t="shared" si="111"/>
        <v>14.942161537174217</v>
      </c>
      <c r="H268" s="112"/>
      <c r="I268" s="112"/>
      <c r="J268" s="112"/>
      <c r="K268" s="112"/>
      <c r="L268" s="112"/>
      <c r="M268" s="112"/>
      <c r="N268" s="112"/>
      <c r="O268" s="112"/>
      <c r="P268" s="112"/>
      <c r="Q268" s="112"/>
      <c r="R268" s="112"/>
      <c r="S268" s="112"/>
      <c r="T268" s="112"/>
      <c r="U268" s="112"/>
      <c r="V268" s="209"/>
      <c r="W268" s="209"/>
      <c r="X268" s="209"/>
      <c r="Y268" s="112"/>
      <c r="AA268" s="112" t="s">
        <v>119</v>
      </c>
      <c r="AB268" s="112">
        <v>-2.4186812</v>
      </c>
      <c r="AC268" s="322">
        <v>-2.4074152</v>
      </c>
      <c r="AP268" s="112"/>
      <c r="AQ268" s="112"/>
      <c r="AR268" s="112"/>
      <c r="AS268" s="112"/>
      <c r="AT268" s="112"/>
      <c r="AU268" s="112"/>
    </row>
    <row r="269" spans="2:47" hidden="1" x14ac:dyDescent="0.2">
      <c r="B269" s="112"/>
      <c r="C269" s="112"/>
      <c r="D269" s="112">
        <f t="shared" si="110"/>
        <v>8.6571891042489899E-2</v>
      </c>
      <c r="E269" s="1">
        <f t="shared" si="109"/>
        <v>0.61325624841549475</v>
      </c>
      <c r="F269" s="112">
        <f t="shared" si="112"/>
        <v>3.2081075616376062E-2</v>
      </c>
      <c r="G269" s="112">
        <f t="shared" si="111"/>
        <v>14.313010145968601</v>
      </c>
      <c r="H269" s="112"/>
      <c r="I269" s="112"/>
      <c r="J269" s="112"/>
      <c r="K269" s="112"/>
      <c r="L269" s="112"/>
      <c r="M269" s="112"/>
      <c r="N269" s="112"/>
      <c r="O269" s="112"/>
      <c r="P269" s="112"/>
      <c r="Q269" s="112"/>
      <c r="R269" s="112"/>
      <c r="S269" s="112"/>
      <c r="T269" s="112"/>
      <c r="U269" s="112"/>
      <c r="V269" s="209"/>
      <c r="W269" s="209"/>
      <c r="X269" s="209"/>
      <c r="Y269" s="112"/>
      <c r="AA269" s="112" t="s">
        <v>151</v>
      </c>
      <c r="AB269" s="112">
        <v>0.54932221000000003</v>
      </c>
      <c r="AC269" s="322">
        <v>0.54932221000000003</v>
      </c>
      <c r="AP269" s="112"/>
      <c r="AQ269" s="112"/>
      <c r="AR269" s="112"/>
      <c r="AS269" s="112"/>
      <c r="AT269" s="112"/>
      <c r="AU269" s="112"/>
    </row>
    <row r="270" spans="2:47" hidden="1" x14ac:dyDescent="0.2">
      <c r="B270" s="112"/>
      <c r="C270" s="112"/>
      <c r="D270" s="112">
        <f t="shared" si="110"/>
        <v>8.7826556130062211E-2</v>
      </c>
      <c r="E270" s="1">
        <f t="shared" si="109"/>
        <v>0.58839912591654442</v>
      </c>
      <c r="F270" s="112">
        <f t="shared" si="112"/>
        <v>3.2546018741251077E-2</v>
      </c>
      <c r="G270" s="112">
        <f t="shared" si="111"/>
        <v>13.693073722838411</v>
      </c>
      <c r="H270" s="112"/>
      <c r="I270" s="112"/>
      <c r="J270" s="112"/>
      <c r="K270" s="112"/>
      <c r="L270" s="112"/>
      <c r="M270" s="112"/>
      <c r="N270" s="112"/>
      <c r="O270" s="112"/>
      <c r="P270" s="112"/>
      <c r="Q270" s="112"/>
      <c r="R270" s="112"/>
      <c r="S270" s="112"/>
      <c r="T270" s="112"/>
      <c r="U270" s="112"/>
      <c r="V270" s="209"/>
      <c r="W270" s="209"/>
      <c r="X270" s="209"/>
      <c r="Y270" s="112"/>
      <c r="AA270" s="112" t="s">
        <v>296</v>
      </c>
      <c r="AB270" s="112">
        <v>-1.0076516</v>
      </c>
      <c r="AC270" s="322">
        <v>-1.0076516</v>
      </c>
      <c r="AP270" s="112"/>
      <c r="AQ270" s="112"/>
      <c r="AR270" s="112"/>
      <c r="AS270" s="112"/>
      <c r="AT270" s="112"/>
      <c r="AU270" s="112"/>
    </row>
    <row r="271" spans="2:47" hidden="1" x14ac:dyDescent="0.2">
      <c r="B271" s="112"/>
      <c r="C271" s="112"/>
      <c r="D271" s="112">
        <f t="shared" si="110"/>
        <v>8.9081221217634524E-2</v>
      </c>
      <c r="E271" s="1">
        <f t="shared" si="109"/>
        <v>0.56477893020796566</v>
      </c>
      <c r="F271" s="112">
        <f t="shared" si="112"/>
        <v>3.3010961866126093E-2</v>
      </c>
      <c r="G271" s="112">
        <f t="shared" si="111"/>
        <v>13.083481628941232</v>
      </c>
      <c r="H271" s="112"/>
      <c r="I271" s="112"/>
      <c r="J271" s="112"/>
      <c r="K271" s="112"/>
      <c r="L271" s="112"/>
      <c r="M271" s="112"/>
      <c r="N271" s="112"/>
      <c r="O271" s="112"/>
      <c r="P271" s="112"/>
      <c r="Q271" s="112"/>
      <c r="R271" s="112"/>
      <c r="S271" s="112"/>
      <c r="T271" s="112"/>
      <c r="U271" s="112"/>
      <c r="V271" s="209"/>
      <c r="W271" s="209"/>
      <c r="X271" s="209"/>
      <c r="Y271" s="112"/>
      <c r="AA271" s="112"/>
      <c r="AB271" s="112"/>
      <c r="AP271" s="112"/>
      <c r="AQ271" s="112"/>
      <c r="AR271" s="112"/>
      <c r="AS271" s="112"/>
      <c r="AT271" s="112"/>
      <c r="AU271" s="112"/>
    </row>
    <row r="272" spans="2:47" hidden="1" x14ac:dyDescent="0.2">
      <c r="B272" s="112"/>
      <c r="C272" s="112"/>
      <c r="D272" s="112">
        <f t="shared" si="110"/>
        <v>9.0335886305206836E-2</v>
      </c>
      <c r="E272" s="1">
        <f t="shared" si="109"/>
        <v>0.54232239524448411</v>
      </c>
      <c r="F272" s="112">
        <f t="shared" si="112"/>
        <v>3.3475904991001108E-2</v>
      </c>
      <c r="G272" s="112">
        <f t="shared" si="111"/>
        <v>12.485275409199932</v>
      </c>
      <c r="H272" s="112"/>
      <c r="I272" s="112"/>
      <c r="J272" s="112"/>
      <c r="K272" s="112"/>
      <c r="L272" s="112"/>
      <c r="M272" s="112"/>
      <c r="N272" s="112"/>
      <c r="O272" s="112"/>
      <c r="P272" s="112"/>
      <c r="Q272" s="112"/>
      <c r="R272" s="112"/>
      <c r="S272" s="112"/>
      <c r="T272" s="112"/>
      <c r="U272" s="112"/>
      <c r="V272" s="209"/>
      <c r="W272" s="209"/>
      <c r="X272" s="209"/>
      <c r="Y272" s="112"/>
      <c r="AA272" s="112"/>
      <c r="AB272" s="112"/>
      <c r="AP272" s="112"/>
      <c r="AQ272" s="112"/>
      <c r="AR272" s="112"/>
      <c r="AS272" s="112"/>
      <c r="AT272" s="112"/>
      <c r="AU272" s="112"/>
    </row>
    <row r="273" spans="2:47" hidden="1" x14ac:dyDescent="0.2">
      <c r="B273" s="112"/>
      <c r="C273" s="112"/>
      <c r="D273" s="112">
        <f t="shared" si="110"/>
        <v>9.1590551392779149E-2</v>
      </c>
      <c r="E273" s="1">
        <f t="shared" si="109"/>
        <v>0.52096129741250885</v>
      </c>
      <c r="F273" s="112">
        <f t="shared" si="112"/>
        <v>3.3940848115876124E-2</v>
      </c>
      <c r="G273" s="112">
        <f t="shared" si="111"/>
        <v>11.899407569771627</v>
      </c>
      <c r="H273" s="112"/>
      <c r="I273" s="112"/>
      <c r="J273" s="112"/>
      <c r="K273" s="112"/>
      <c r="L273" s="112"/>
      <c r="M273" s="112"/>
      <c r="N273" s="112"/>
      <c r="O273" s="112"/>
      <c r="P273" s="112"/>
      <c r="Q273" s="112"/>
      <c r="R273" s="112"/>
      <c r="S273" s="112"/>
      <c r="T273" s="112"/>
      <c r="U273" s="112"/>
      <c r="V273" s="209"/>
      <c r="W273" s="209"/>
      <c r="X273" s="209"/>
      <c r="Y273" s="112"/>
      <c r="AA273" s="112"/>
      <c r="AB273" s="112"/>
      <c r="AP273" s="112"/>
      <c r="AQ273" s="112"/>
      <c r="AR273" s="112"/>
      <c r="AS273" s="112"/>
      <c r="AT273" s="112"/>
      <c r="AU273" s="112"/>
    </row>
    <row r="274" spans="2:47" hidden="1" x14ac:dyDescent="0.2">
      <c r="B274" s="112"/>
      <c r="C274" s="112"/>
      <c r="D274" s="112">
        <f t="shared" si="110"/>
        <v>9.2845216480351461E-2</v>
      </c>
      <c r="E274" s="1">
        <f t="shared" si="109"/>
        <v>0.50063205996618054</v>
      </c>
      <c r="F274" s="112">
        <f t="shared" si="112"/>
        <v>3.4405791240751139E-2</v>
      </c>
      <c r="G274" s="112">
        <f t="shared" si="111"/>
        <v>11.326740958588788</v>
      </c>
      <c r="H274" s="112"/>
      <c r="I274" s="112"/>
      <c r="J274" s="112"/>
      <c r="K274" s="112"/>
      <c r="L274" s="112"/>
      <c r="M274" s="112"/>
      <c r="N274" s="112"/>
      <c r="O274" s="112"/>
      <c r="P274" s="112"/>
      <c r="Q274" s="112"/>
      <c r="R274" s="112"/>
      <c r="S274" s="112"/>
      <c r="T274" s="112"/>
      <c r="U274" s="112"/>
      <c r="V274" s="209"/>
      <c r="W274" s="209"/>
      <c r="X274" s="209"/>
      <c r="Y274" s="112"/>
      <c r="AA274" s="112"/>
      <c r="AB274" s="112"/>
      <c r="AP274" s="112"/>
      <c r="AQ274" s="112"/>
      <c r="AR274" s="112"/>
      <c r="AS274" s="112"/>
      <c r="AT274" s="112"/>
      <c r="AU274" s="112"/>
    </row>
    <row r="275" spans="2:47" hidden="1" x14ac:dyDescent="0.2">
      <c r="B275" s="112"/>
      <c r="C275" s="112"/>
      <c r="D275" s="112">
        <f t="shared" si="110"/>
        <v>9.4099881567923774E-2</v>
      </c>
      <c r="E275" s="1">
        <f t="shared" si="109"/>
        <v>0.48127539228828703</v>
      </c>
      <c r="F275" s="112">
        <f t="shared" si="112"/>
        <v>3.4870734365626155E-2</v>
      </c>
      <c r="G275" s="112">
        <f t="shared" si="111"/>
        <v>10.768048725987756</v>
      </c>
      <c r="H275" s="112"/>
      <c r="I275" s="112"/>
      <c r="J275" s="112"/>
      <c r="K275" s="112"/>
      <c r="L275" s="112" t="s">
        <v>157</v>
      </c>
      <c r="M275" s="112"/>
      <c r="N275" s="112"/>
      <c r="O275" s="112"/>
      <c r="P275" s="112"/>
      <c r="Q275" s="112"/>
      <c r="R275" s="112"/>
      <c r="S275" s="112"/>
      <c r="T275" s="112"/>
      <c r="U275" s="112"/>
      <c r="V275" s="209"/>
      <c r="W275" s="209"/>
      <c r="X275" s="209"/>
      <c r="Y275" s="112"/>
      <c r="AA275" s="112"/>
      <c r="AB275" s="112"/>
      <c r="AP275" s="112"/>
      <c r="AQ275" s="112"/>
      <c r="AR275" s="112"/>
      <c r="AS275" s="112"/>
      <c r="AT275" s="112"/>
      <c r="AU275" s="112"/>
    </row>
    <row r="276" spans="2:47" hidden="1" x14ac:dyDescent="0.2">
      <c r="B276" s="112"/>
      <c r="C276" s="112"/>
      <c r="D276" s="112">
        <f t="shared" si="110"/>
        <v>9.5354546655496086E-2</v>
      </c>
      <c r="E276" s="1">
        <f t="shared" si="109"/>
        <v>0.46283596057885057</v>
      </c>
      <c r="F276" s="112">
        <f t="shared" si="112"/>
        <v>3.533567749050117E-2</v>
      </c>
      <c r="G276" s="112">
        <f t="shared" si="111"/>
        <v>10.224014838511508</v>
      </c>
      <c r="H276" s="112"/>
      <c r="I276" s="112"/>
      <c r="J276" s="112"/>
      <c r="K276" s="112"/>
      <c r="L276" s="112"/>
      <c r="M276" s="112" t="s">
        <v>158</v>
      </c>
      <c r="N276" s="112" t="s">
        <v>158</v>
      </c>
      <c r="O276" s="112"/>
      <c r="P276" s="112"/>
      <c r="Q276" s="112"/>
      <c r="R276" s="112"/>
      <c r="S276" s="112"/>
      <c r="T276" s="112"/>
      <c r="U276" s="112"/>
      <c r="V276" s="209"/>
      <c r="W276" s="209"/>
      <c r="X276" s="209"/>
      <c r="Y276" s="112"/>
      <c r="AA276" s="112"/>
      <c r="AB276" s="112"/>
      <c r="AP276" s="112"/>
      <c r="AQ276" s="112"/>
      <c r="AR276" s="112"/>
      <c r="AS276" s="112"/>
      <c r="AT276" s="112"/>
      <c r="AU276" s="112"/>
    </row>
    <row r="277" spans="2:47" hidden="1" x14ac:dyDescent="0.2">
      <c r="B277" s="112"/>
      <c r="C277" s="112"/>
      <c r="D277" s="112">
        <f t="shared" si="110"/>
        <v>9.6609211743068399E-2</v>
      </c>
      <c r="E277" s="1">
        <f t="shared" si="109"/>
        <v>0.44526208693753744</v>
      </c>
      <c r="F277" s="112">
        <f t="shared" si="112"/>
        <v>3.5800620615376186E-2</v>
      </c>
      <c r="G277" s="112">
        <f t="shared" si="111"/>
        <v>9.6952351154934764</v>
      </c>
      <c r="H277" s="112"/>
      <c r="I277" s="112"/>
      <c r="J277" s="112"/>
      <c r="K277" s="112"/>
      <c r="L277" s="112"/>
      <c r="M277" s="112" t="s">
        <v>159</v>
      </c>
      <c r="N277" s="112" t="s">
        <v>160</v>
      </c>
      <c r="O277" s="112"/>
      <c r="P277" s="112" t="s">
        <v>161</v>
      </c>
      <c r="Q277" s="112">
        <f>AB17</f>
        <v>1.0638485285854532E-2</v>
      </c>
      <c r="R277" s="112"/>
      <c r="S277" s="112"/>
      <c r="T277" s="112"/>
      <c r="U277" s="112" t="s">
        <v>162</v>
      </c>
      <c r="V277" s="209"/>
      <c r="W277" s="209"/>
      <c r="X277" s="209"/>
      <c r="Y277" s="112"/>
      <c r="AA277" s="112"/>
      <c r="AB277" s="112"/>
      <c r="AP277" s="112"/>
      <c r="AQ277" s="112"/>
      <c r="AR277" s="112"/>
      <c r="AS277" s="112"/>
      <c r="AT277" s="112"/>
      <c r="AU277" s="112"/>
    </row>
    <row r="278" spans="2:47" hidden="1" x14ac:dyDescent="0.2">
      <c r="B278" s="112"/>
      <c r="C278" s="112"/>
      <c r="D278" s="112">
        <f t="shared" si="110"/>
        <v>9.7863876830640711E-2</v>
      </c>
      <c r="E278" s="1">
        <f t="shared" si="109"/>
        <v>0.42850547412712175</v>
      </c>
      <c r="F278" s="112">
        <f t="shared" si="112"/>
        <v>3.6265563740251201E-2</v>
      </c>
      <c r="G278" s="112">
        <f t="shared" si="111"/>
        <v>9.1822187550155228</v>
      </c>
      <c r="H278" s="112"/>
      <c r="I278" s="112"/>
      <c r="J278" s="112"/>
      <c r="K278" s="112"/>
      <c r="L278" s="112"/>
      <c r="M278" s="112"/>
      <c r="N278" s="112"/>
      <c r="O278" s="112"/>
      <c r="P278" s="112" t="s">
        <v>163</v>
      </c>
      <c r="Q278" s="112">
        <f>AB18</f>
        <v>2.8835983669555807</v>
      </c>
      <c r="R278" s="112"/>
      <c r="S278" s="112"/>
      <c r="T278" s="112"/>
      <c r="U278" s="112" t="s">
        <v>164</v>
      </c>
      <c r="V278" s="209"/>
      <c r="W278" s="209"/>
      <c r="X278" s="209"/>
      <c r="Y278" s="112"/>
      <c r="AA278" s="112"/>
      <c r="AB278" s="112"/>
      <c r="AP278" s="112"/>
      <c r="AQ278" s="112"/>
      <c r="AR278" s="112"/>
      <c r="AS278" s="112"/>
      <c r="AT278" s="112"/>
      <c r="AU278" s="112"/>
    </row>
    <row r="279" spans="2:47" hidden="1" x14ac:dyDescent="0.2">
      <c r="B279" s="112"/>
      <c r="C279" s="112"/>
      <c r="D279" s="112">
        <f t="shared" si="110"/>
        <v>9.9118541918213024E-2</v>
      </c>
      <c r="E279" s="1">
        <f t="shared" si="109"/>
        <v>0.4125209535894076</v>
      </c>
      <c r="F279" s="112">
        <f t="shared" si="112"/>
        <v>3.6730506865126217E-2</v>
      </c>
      <c r="G279" s="112">
        <f t="shared" si="111"/>
        <v>8.6853903132958283</v>
      </c>
      <c r="H279" s="112"/>
      <c r="I279" s="112"/>
      <c r="J279" s="112"/>
      <c r="K279" s="112"/>
      <c r="L279" s="112" t="s">
        <v>49</v>
      </c>
      <c r="M279" s="112">
        <v>-0.85033767000000005</v>
      </c>
      <c r="N279" s="112">
        <v>0.76766657999999999</v>
      </c>
      <c r="O279" s="112"/>
      <c r="P279" s="112" t="s">
        <v>165</v>
      </c>
      <c r="Q279" s="112">
        <f>M212</f>
        <v>11</v>
      </c>
      <c r="R279" s="112"/>
      <c r="S279" s="112"/>
      <c r="T279" s="112"/>
      <c r="U279" s="112" t="s">
        <v>166</v>
      </c>
      <c r="V279" s="209"/>
      <c r="W279" s="209"/>
      <c r="X279" s="209"/>
      <c r="Y279" s="112"/>
      <c r="AA279" s="112"/>
      <c r="AB279" s="112"/>
      <c r="AP279" s="112"/>
      <c r="AQ279" s="112"/>
      <c r="AR279" s="112"/>
      <c r="AS279" s="112"/>
      <c r="AT279" s="112"/>
      <c r="AU279" s="112"/>
    </row>
    <row r="280" spans="2:47" hidden="1" x14ac:dyDescent="0.2">
      <c r="B280" s="112"/>
      <c r="C280" s="112"/>
      <c r="D280" s="112">
        <f t="shared" si="110"/>
        <v>0.10037320700578534</v>
      </c>
      <c r="E280" s="1">
        <f t="shared" si="109"/>
        <v>0.39726625453686026</v>
      </c>
      <c r="F280" s="112">
        <f t="shared" si="112"/>
        <v>3.7195449990001232E-2</v>
      </c>
      <c r="G280" s="112">
        <f t="shared" si="111"/>
        <v>8.2050920995058565</v>
      </c>
      <c r="H280" s="112"/>
      <c r="I280" s="112"/>
      <c r="J280" s="112"/>
      <c r="K280" s="112"/>
      <c r="L280" s="112" t="s">
        <v>52</v>
      </c>
      <c r="M280" s="112">
        <v>-0.52580519999999997</v>
      </c>
      <c r="N280" s="112">
        <v>3.8716868999999998</v>
      </c>
      <c r="O280" s="112"/>
      <c r="P280" s="112"/>
      <c r="Q280" s="112"/>
      <c r="R280" s="112"/>
      <c r="S280" s="112"/>
      <c r="T280" s="112"/>
      <c r="U280" s="112"/>
      <c r="V280" s="209"/>
      <c r="W280" s="209"/>
      <c r="X280" s="209"/>
      <c r="Y280" s="112"/>
      <c r="AA280" s="112"/>
      <c r="AB280" s="112"/>
      <c r="AP280" s="112"/>
      <c r="AQ280" s="112"/>
      <c r="AR280" s="112"/>
      <c r="AS280" s="112"/>
      <c r="AT280" s="112"/>
      <c r="AU280" s="112"/>
    </row>
    <row r="281" spans="2:47" hidden="1" x14ac:dyDescent="0.2">
      <c r="B281" s="112"/>
      <c r="C281" s="112"/>
      <c r="D281" s="112">
        <f t="shared" si="110"/>
        <v>0.10162787209335765</v>
      </c>
      <c r="E281" s="1">
        <f t="shared" si="109"/>
        <v>0.38270179216661104</v>
      </c>
      <c r="F281" s="112">
        <f t="shared" si="112"/>
        <v>3.7660393114876248E-2</v>
      </c>
      <c r="G281" s="112">
        <f t="shared" si="111"/>
        <v>7.7415869464380149</v>
      </c>
      <c r="H281" s="112"/>
      <c r="I281" s="112"/>
      <c r="J281" s="112"/>
      <c r="K281" s="112"/>
      <c r="L281" s="112" t="s">
        <v>54</v>
      </c>
      <c r="M281" s="112">
        <v>0.92416176000000005</v>
      </c>
      <c r="N281" s="112">
        <v>0.80598919000000002</v>
      </c>
      <c r="O281" s="112"/>
      <c r="P281" s="112"/>
      <c r="Q281" s="112"/>
      <c r="R281" s="112"/>
      <c r="S281" s="112"/>
      <c r="T281" s="112"/>
      <c r="U281" s="112"/>
      <c r="V281" s="209"/>
      <c r="W281" s="209"/>
      <c r="X281" s="209"/>
      <c r="Y281" s="112"/>
      <c r="AA281" s="112"/>
      <c r="AB281" s="112"/>
      <c r="AP281" s="112"/>
      <c r="AQ281" s="112"/>
      <c r="AR281" s="112"/>
      <c r="AS281" s="112"/>
      <c r="AT281" s="112"/>
      <c r="AU281" s="112"/>
    </row>
    <row r="282" spans="2:47" hidden="1" x14ac:dyDescent="0.2">
      <c r="B282" s="112"/>
      <c r="C282" s="112"/>
      <c r="D282" s="112">
        <f t="shared" si="110"/>
        <v>0.10288253718092996</v>
      </c>
      <c r="E282" s="1">
        <f t="shared" si="109"/>
        <v>0.36879047324204567</v>
      </c>
      <c r="F282" s="112">
        <f t="shared" si="112"/>
        <v>3.8125336239751263E-2</v>
      </c>
      <c r="G282" s="112">
        <f t="shared" si="111"/>
        <v>7.2950613163393134</v>
      </c>
      <c r="H282" s="112"/>
      <c r="I282" s="112"/>
      <c r="J282" s="112"/>
      <c r="K282" s="112"/>
      <c r="L282" s="112" t="s">
        <v>167</v>
      </c>
      <c r="M282" s="112">
        <v>3.3298209000000001</v>
      </c>
      <c r="N282" s="112">
        <v>6.0321018999999998</v>
      </c>
      <c r="O282" s="112"/>
      <c r="P282" s="112" t="s">
        <v>168</v>
      </c>
      <c r="Q282" s="112">
        <f>EXP(LN(Q277)+0.5*LN(Q278)^2+M295*LN(Q278)/SQRT(Q279-1))</f>
        <v>1.0547237656640814E-2</v>
      </c>
      <c r="R282" s="112"/>
      <c r="S282" s="112"/>
      <c r="T282" s="112"/>
      <c r="U282" s="112"/>
      <c r="V282" s="209"/>
      <c r="W282" s="209"/>
      <c r="X282" s="209"/>
      <c r="Y282" s="112"/>
      <c r="AA282" s="112"/>
      <c r="AB282" s="112"/>
      <c r="AP282" s="112"/>
      <c r="AQ282" s="112"/>
      <c r="AR282" s="112"/>
      <c r="AS282" s="112"/>
      <c r="AT282" s="112"/>
      <c r="AU282" s="112"/>
    </row>
    <row r="283" spans="2:47" hidden="1" x14ac:dyDescent="0.2">
      <c r="B283" s="112"/>
      <c r="C283" s="112"/>
      <c r="D283" s="112">
        <f t="shared" si="110"/>
        <v>0.10413720226850227</v>
      </c>
      <c r="E283" s="1">
        <f t="shared" si="109"/>
        <v>0.35549751746375574</v>
      </c>
      <c r="F283" s="112">
        <f t="shared" si="112"/>
        <v>3.8590279364626279E-2</v>
      </c>
      <c r="G283" s="112">
        <f t="shared" si="111"/>
        <v>6.8656287005782657</v>
      </c>
      <c r="H283" s="112"/>
      <c r="I283" s="112"/>
      <c r="J283" s="112"/>
      <c r="K283" s="112"/>
      <c r="L283" s="112" t="s">
        <v>169</v>
      </c>
      <c r="M283" s="112">
        <v>0.94348567999999999</v>
      </c>
      <c r="N283" s="112">
        <v>0.89998153999999997</v>
      </c>
      <c r="O283" s="112"/>
      <c r="P283" s="112" t="s">
        <v>170</v>
      </c>
      <c r="Q283" s="112">
        <f>EXP(LN(Q277)+0.5*LN(Q278)^2+N295*LN(Q278)/SQRT(Q279-1))</f>
        <v>5.233343714002734E-2</v>
      </c>
      <c r="R283" s="112"/>
      <c r="S283" s="112"/>
      <c r="T283" s="112"/>
      <c r="U283" s="112"/>
      <c r="V283" s="209"/>
      <c r="W283" s="209"/>
      <c r="X283" s="209"/>
      <c r="Y283" s="112"/>
      <c r="AA283" s="112"/>
      <c r="AB283" s="112"/>
      <c r="AP283" s="112"/>
      <c r="AQ283" s="112"/>
      <c r="AR283" s="112"/>
      <c r="AS283" s="112"/>
      <c r="AT283" s="112"/>
      <c r="AU283" s="112"/>
    </row>
    <row r="284" spans="2:47" hidden="1" x14ac:dyDescent="0.2">
      <c r="B284" s="112"/>
      <c r="C284" s="112"/>
      <c r="D284" s="112">
        <f t="shared" si="110"/>
        <v>0.10539186735607459</v>
      </c>
      <c r="E284" s="1">
        <f t="shared" si="109"/>
        <v>0.34279029320891613</v>
      </c>
      <c r="F284" s="112">
        <f t="shared" si="112"/>
        <v>3.9055222489501294E-2</v>
      </c>
      <c r="G284" s="112">
        <f t="shared" si="111"/>
        <v>6.4533332716046887</v>
      </c>
      <c r="H284" s="112"/>
      <c r="I284" s="112"/>
      <c r="J284" s="112"/>
      <c r="K284" s="112"/>
      <c r="L284" s="112" t="s">
        <v>171</v>
      </c>
      <c r="M284" s="112">
        <v>1.3213280999999999</v>
      </c>
      <c r="N284" s="112">
        <v>2.0126689999999998</v>
      </c>
      <c r="O284" s="112"/>
      <c r="P284" s="112"/>
      <c r="Q284" s="112"/>
      <c r="R284" s="112"/>
      <c r="S284" s="112"/>
      <c r="T284" s="112"/>
      <c r="U284" s="112"/>
      <c r="V284" s="209"/>
      <c r="W284" s="209"/>
      <c r="X284" s="209"/>
      <c r="Y284" s="112"/>
      <c r="AA284" s="112"/>
      <c r="AB284" s="112"/>
      <c r="AP284" s="112"/>
      <c r="AQ284" s="112"/>
      <c r="AR284" s="112"/>
      <c r="AS284" s="112"/>
      <c r="AT284" s="112"/>
      <c r="AU284" s="112"/>
    </row>
    <row r="285" spans="2:47" hidden="1" x14ac:dyDescent="0.2">
      <c r="B285" s="112"/>
      <c r="C285" s="112"/>
      <c r="D285" s="112">
        <f t="shared" si="110"/>
        <v>0.1066465324436469</v>
      </c>
      <c r="E285" s="1">
        <f t="shared" si="109"/>
        <v>0.33063816635837995</v>
      </c>
      <c r="F285" s="112">
        <f t="shared" si="112"/>
        <v>3.952016561437631E-2</v>
      </c>
      <c r="G285" s="112">
        <f t="shared" si="111"/>
        <v>6.0581537458723886</v>
      </c>
      <c r="H285" s="112"/>
      <c r="I285" s="112"/>
      <c r="J285" s="112"/>
      <c r="K285" s="112"/>
      <c r="L285" s="112" t="s">
        <v>46</v>
      </c>
      <c r="M285" s="112">
        <v>0.81555619999999995</v>
      </c>
      <c r="N285" s="112">
        <v>0.21978875</v>
      </c>
      <c r="O285" s="112"/>
      <c r="P285" s="112"/>
      <c r="Q285" s="112"/>
      <c r="R285" s="112"/>
      <c r="S285" s="112"/>
      <c r="T285" s="112"/>
      <c r="U285" s="112"/>
      <c r="V285" s="209"/>
      <c r="W285" s="209"/>
      <c r="X285" s="209"/>
      <c r="Y285" s="112"/>
      <c r="AA285" s="112"/>
      <c r="AB285" s="112"/>
      <c r="AP285" s="112"/>
      <c r="AQ285" s="112"/>
      <c r="AR285" s="112"/>
      <c r="AS285" s="112"/>
      <c r="AT285" s="112"/>
      <c r="AU285" s="112"/>
    </row>
    <row r="286" spans="2:47" hidden="1" x14ac:dyDescent="0.2">
      <c r="B286" s="112"/>
      <c r="C286" s="112"/>
      <c r="D286" s="112">
        <f t="shared" si="110"/>
        <v>0.10790119753121921</v>
      </c>
      <c r="E286" s="1">
        <f t="shared" si="109"/>
        <v>0.31901236105598296</v>
      </c>
      <c r="F286" s="112">
        <f t="shared" si="112"/>
        <v>3.9985108739251325E-2</v>
      </c>
      <c r="G286" s="112">
        <f t="shared" si="111"/>
        <v>5.6800074169971282</v>
      </c>
      <c r="H286" s="112"/>
      <c r="I286" s="112"/>
      <c r="J286" s="112"/>
      <c r="K286" s="112"/>
      <c r="L286" s="112" t="s">
        <v>172</v>
      </c>
      <c r="M286" s="112">
        <v>-1.0181480000000001</v>
      </c>
      <c r="N286" s="112">
        <v>0.41575588000000002</v>
      </c>
      <c r="O286" s="112"/>
      <c r="P286" s="112" t="s">
        <v>173</v>
      </c>
      <c r="Q286" s="112">
        <v>52</v>
      </c>
      <c r="R286" s="112"/>
      <c r="S286" s="112"/>
      <c r="T286" s="112"/>
      <c r="U286" s="112"/>
      <c r="V286" s="209"/>
      <c r="W286" s="209"/>
      <c r="X286" s="209"/>
      <c r="Y286" s="112"/>
      <c r="AA286" s="112"/>
      <c r="AB286" s="112"/>
      <c r="AP286" s="112"/>
      <c r="AQ286" s="112"/>
      <c r="AR286" s="112"/>
      <c r="AS286" s="112"/>
      <c r="AT286" s="112"/>
      <c r="AU286" s="112"/>
    </row>
    <row r="287" spans="2:47" hidden="1" x14ac:dyDescent="0.2">
      <c r="B287" s="112"/>
      <c r="C287" s="112"/>
      <c r="D287" s="112">
        <f t="shared" si="110"/>
        <v>0.10915586261879152</v>
      </c>
      <c r="E287" s="1">
        <f t="shared" si="109"/>
        <v>0.30788583135642095</v>
      </c>
      <c r="F287" s="112">
        <f t="shared" si="112"/>
        <v>4.0450051864126341E-2</v>
      </c>
      <c r="G287" s="112">
        <f t="shared" si="111"/>
        <v>5.3187543193869962</v>
      </c>
      <c r="H287" s="112"/>
      <c r="I287" s="112"/>
      <c r="J287" s="112"/>
      <c r="K287" s="112"/>
      <c r="L287" s="112" t="s">
        <v>100</v>
      </c>
      <c r="M287" s="112">
        <v>0.25248894999999999</v>
      </c>
      <c r="N287" s="112">
        <v>0.29258276</v>
      </c>
      <c r="O287" s="112"/>
      <c r="P287" s="112"/>
      <c r="Q287" s="112">
        <v>114</v>
      </c>
      <c r="R287" s="112"/>
      <c r="S287" s="112"/>
      <c r="T287" s="112"/>
      <c r="U287" s="112"/>
      <c r="V287" s="209"/>
      <c r="W287" s="209"/>
      <c r="X287" s="209"/>
      <c r="Y287" s="112"/>
      <c r="AA287" s="112"/>
      <c r="AB287" s="112"/>
      <c r="AP287" s="112"/>
      <c r="AQ287" s="112"/>
      <c r="AR287" s="112"/>
      <c r="AS287" s="112"/>
      <c r="AT287" s="112"/>
      <c r="AU287" s="112"/>
    </row>
    <row r="288" spans="2:47" hidden="1" x14ac:dyDescent="0.2">
      <c r="B288" s="112"/>
      <c r="C288" s="112"/>
      <c r="D288" s="112">
        <f t="shared" si="110"/>
        <v>0.11041052770636384</v>
      </c>
      <c r="E288" s="1">
        <f t="shared" si="109"/>
        <v>0.29723314281819024</v>
      </c>
      <c r="F288" s="112">
        <f t="shared" si="112"/>
        <v>4.0914994989001356E-2</v>
      </c>
      <c r="G288" s="112">
        <f t="shared" si="111"/>
        <v>4.9742014838775406</v>
      </c>
      <c r="H288" s="112"/>
      <c r="I288" s="112"/>
      <c r="J288" s="112"/>
      <c r="K288" s="112"/>
      <c r="L288" s="112"/>
      <c r="M288" s="112"/>
      <c r="N288" s="112"/>
      <c r="O288" s="112"/>
      <c r="P288" s="112"/>
      <c r="Q288" s="112">
        <v>205</v>
      </c>
      <c r="R288" s="112"/>
      <c r="S288" s="112"/>
      <c r="T288" s="112"/>
      <c r="U288" s="112"/>
      <c r="V288" s="209"/>
      <c r="W288" s="209"/>
      <c r="X288" s="209"/>
      <c r="Y288" s="112"/>
      <c r="AA288" s="112"/>
      <c r="AB288" s="112"/>
      <c r="AP288" s="112"/>
      <c r="AQ288" s="112"/>
      <c r="AR288" s="112"/>
      <c r="AS288" s="112"/>
      <c r="AT288" s="112"/>
      <c r="AU288" s="112"/>
    </row>
    <row r="289" spans="2:47" hidden="1" x14ac:dyDescent="0.2">
      <c r="B289" s="112"/>
      <c r="C289" s="112"/>
      <c r="D289" s="112">
        <f t="shared" si="110"/>
        <v>0.11166519279393615</v>
      </c>
      <c r="E289" s="1">
        <f t="shared" si="109"/>
        <v>0.28703036318773528</v>
      </c>
      <c r="F289" s="112">
        <f t="shared" si="112"/>
        <v>4.1379938113876372E-2</v>
      </c>
      <c r="G289" s="112">
        <f t="shared" si="111"/>
        <v>4.6461072484951247</v>
      </c>
      <c r="H289" s="112"/>
      <c r="I289" s="112"/>
      <c r="J289" s="112"/>
      <c r="K289" s="112"/>
      <c r="L289" s="112" t="s">
        <v>102</v>
      </c>
      <c r="M289" s="112">
        <f>M279/(Q279-2)^M281+M280</f>
        <v>-0.63741876546603149</v>
      </c>
      <c r="N289" s="112">
        <f>(LN(Q278)*(N287+1/(Q279-2)^N281))</f>
        <v>0.49007645489164664</v>
      </c>
      <c r="O289" s="112"/>
      <c r="P289" s="112"/>
      <c r="Q289" s="112">
        <v>365</v>
      </c>
      <c r="R289" s="112"/>
      <c r="S289" s="112"/>
      <c r="T289" s="112"/>
      <c r="U289" s="112"/>
      <c r="V289" s="209"/>
      <c r="W289" s="209"/>
      <c r="X289" s="209"/>
      <c r="Y289" s="112"/>
      <c r="AA289" s="112"/>
      <c r="AB289" s="112"/>
      <c r="AP289" s="112"/>
      <c r="AQ289" s="112"/>
      <c r="AR289" s="112"/>
      <c r="AS289" s="112"/>
      <c r="AT289" s="112"/>
      <c r="AU289" s="112"/>
    </row>
    <row r="290" spans="2:47" hidden="1" x14ac:dyDescent="0.2">
      <c r="B290" s="112"/>
      <c r="C290" s="112"/>
      <c r="D290" s="112">
        <f t="shared" si="110"/>
        <v>0.11291985788150846</v>
      </c>
      <c r="E290" s="1">
        <f t="shared" si="109"/>
        <v>0.27725496140135802</v>
      </c>
      <c r="F290" s="112">
        <f t="shared" si="112"/>
        <v>4.1844881238751387E-2</v>
      </c>
      <c r="G290" s="112">
        <f t="shared" si="111"/>
        <v>4.3341855893237309</v>
      </c>
      <c r="H290" s="112"/>
      <c r="I290" s="112"/>
      <c r="J290" s="112"/>
      <c r="K290" s="112"/>
      <c r="L290" s="112" t="s">
        <v>103</v>
      </c>
      <c r="M290" s="112">
        <f>M282/(Q279-2)^M284+M283</f>
        <v>1.1261078222385095</v>
      </c>
      <c r="N290" s="112">
        <f>(N280+N282/(Q279-2)^N281)</f>
        <v>4.8981882436759081</v>
      </c>
      <c r="O290" s="112"/>
      <c r="P290" s="112"/>
      <c r="Q290" s="112">
        <v>780</v>
      </c>
      <c r="R290" s="112"/>
      <c r="S290" s="112"/>
      <c r="T290" s="112"/>
      <c r="U290" s="112"/>
      <c r="V290" s="209"/>
      <c r="W290" s="209"/>
      <c r="X290" s="209"/>
      <c r="Y290" s="112"/>
      <c r="AA290" s="112"/>
      <c r="AB290" s="112"/>
      <c r="AP290" s="112"/>
      <c r="AQ290" s="112"/>
      <c r="AR290" s="112"/>
      <c r="AS290" s="112"/>
      <c r="AT290" s="112"/>
      <c r="AU290" s="112"/>
    </row>
    <row r="291" spans="2:47" hidden="1" x14ac:dyDescent="0.2">
      <c r="B291" s="112"/>
      <c r="C291" s="112"/>
      <c r="D291" s="112">
        <f t="shared" si="110"/>
        <v>0.11417452296908077</v>
      </c>
      <c r="E291" s="1">
        <f t="shared" si="109"/>
        <v>0.26788571420360785</v>
      </c>
      <c r="F291" s="112">
        <f t="shared" si="112"/>
        <v>4.2309824363626403E-2</v>
      </c>
      <c r="G291" s="112">
        <f t="shared" si="111"/>
        <v>4.0381104385255844</v>
      </c>
      <c r="H291" s="112"/>
      <c r="I291" s="112"/>
      <c r="J291" s="112"/>
      <c r="K291" s="112"/>
      <c r="L291" s="112" t="s">
        <v>106</v>
      </c>
      <c r="M291" s="112">
        <f>M285/(Q279-2)^M287+M286</f>
        <v>-0.54985441949320379</v>
      </c>
      <c r="N291" s="112">
        <f>(N289*(1-N283*EXP(-N284*N289)))</f>
        <v>0.32559156784061938</v>
      </c>
      <c r="O291" s="112"/>
      <c r="P291" s="112"/>
      <c r="Q291" s="112"/>
      <c r="R291" s="112"/>
      <c r="S291" s="112"/>
      <c r="T291" s="112"/>
      <c r="U291" s="112"/>
      <c r="V291" s="209"/>
      <c r="W291" s="209"/>
      <c r="X291" s="209"/>
      <c r="Y291" s="112"/>
      <c r="AA291" s="112"/>
      <c r="AB291" s="112"/>
      <c r="AP291" s="112"/>
      <c r="AQ291" s="112"/>
      <c r="AR291" s="112"/>
      <c r="AS291" s="112"/>
      <c r="AT291" s="112"/>
      <c r="AU291" s="112"/>
    </row>
    <row r="292" spans="2:47" hidden="1" x14ac:dyDescent="0.2">
      <c r="B292" s="112"/>
      <c r="C292" s="112"/>
      <c r="D292" s="112">
        <f t="shared" si="110"/>
        <v>0.11542918805665309</v>
      </c>
      <c r="E292" s="1">
        <f t="shared" si="109"/>
        <v>0.25890261974573159</v>
      </c>
      <c r="F292" s="112">
        <f t="shared" si="112"/>
        <v>4.2774767488501418E-2</v>
      </c>
      <c r="G292" s="112">
        <f t="shared" si="111"/>
        <v>3.7575199588279249</v>
      </c>
      <c r="H292" s="112"/>
      <c r="I292" s="112"/>
      <c r="J292" s="112"/>
      <c r="K292" s="112"/>
      <c r="L292" s="112" t="s">
        <v>109</v>
      </c>
      <c r="M292" s="112">
        <f>-0.6226/(Q279-2)^0.2426+1.147</f>
        <v>0.78164935065975727</v>
      </c>
      <c r="N292" s="112">
        <f>(1+N285*EXP(-N286*N289))</f>
        <v>1.1792738795753923</v>
      </c>
      <c r="O292" s="112"/>
      <c r="P292" s="112" t="s">
        <v>165</v>
      </c>
      <c r="Q292" s="112">
        <v>5</v>
      </c>
      <c r="R292" s="112"/>
      <c r="S292" s="112"/>
      <c r="T292" s="112"/>
      <c r="U292" s="112"/>
      <c r="V292" s="209"/>
      <c r="W292" s="209"/>
      <c r="X292" s="209"/>
      <c r="Y292" s="112"/>
      <c r="AA292" s="112"/>
      <c r="AB292" s="112"/>
      <c r="AP292" s="112"/>
      <c r="AQ292" s="112"/>
      <c r="AR292" s="112"/>
      <c r="AS292" s="112"/>
      <c r="AT292" s="112"/>
      <c r="AU292" s="112"/>
    </row>
    <row r="293" spans="2:47" hidden="1" x14ac:dyDescent="0.2">
      <c r="B293" s="112"/>
      <c r="C293" s="112"/>
      <c r="D293" s="112">
        <f t="shared" si="110"/>
        <v>0.1166838531442254</v>
      </c>
      <c r="E293" s="1">
        <f t="shared" si="109"/>
        <v>0.25028681758607302</v>
      </c>
      <c r="F293" s="112">
        <f t="shared" si="112"/>
        <v>4.3239710613376434E-2</v>
      </c>
      <c r="G293" s="112">
        <f t="shared" si="111"/>
        <v>3.4920207461995831</v>
      </c>
      <c r="H293" s="112"/>
      <c r="I293" s="112"/>
      <c r="J293" s="112"/>
      <c r="K293" s="112"/>
      <c r="L293" s="112" t="s">
        <v>111</v>
      </c>
      <c r="M293" s="112"/>
      <c r="N293" s="112">
        <f>(N290*N291/N292)</f>
        <v>1.3523650590914074</v>
      </c>
      <c r="O293" s="112"/>
      <c r="P293" s="112" t="s">
        <v>174</v>
      </c>
      <c r="Q293" s="112">
        <v>203.14680000000001</v>
      </c>
      <c r="R293" s="112"/>
      <c r="S293" s="112"/>
      <c r="T293" s="112"/>
      <c r="U293" s="112"/>
      <c r="V293" s="209"/>
      <c r="W293" s="209"/>
      <c r="X293" s="209"/>
      <c r="Y293" s="112"/>
      <c r="AA293" s="112"/>
      <c r="AB293" s="112"/>
      <c r="AP293" s="112"/>
      <c r="AQ293" s="112"/>
      <c r="AR293" s="112"/>
      <c r="AS293" s="112"/>
      <c r="AT293" s="112"/>
      <c r="AU293" s="112"/>
    </row>
    <row r="294" spans="2:47" hidden="1" x14ac:dyDescent="0.2">
      <c r="B294" s="112"/>
      <c r="C294" s="112"/>
      <c r="D294" s="112">
        <f t="shared" si="110"/>
        <v>0.11793851823179771</v>
      </c>
      <c r="E294" s="1">
        <f t="shared" si="109"/>
        <v>0.2420205145668419</v>
      </c>
      <c r="F294" s="112">
        <f t="shared" si="112"/>
        <v>4.3704653738251449E-2</v>
      </c>
      <c r="G294" s="112">
        <f t="shared" si="111"/>
        <v>3.2411919349659755</v>
      </c>
      <c r="H294" s="112"/>
      <c r="I294" s="112"/>
      <c r="J294" s="112"/>
      <c r="K294" s="112"/>
      <c r="L294" s="112"/>
      <c r="M294" s="112"/>
      <c r="N294" s="112"/>
      <c r="O294" s="112"/>
      <c r="P294" s="112" t="s">
        <v>175</v>
      </c>
      <c r="Q294" s="112">
        <v>2.8351999999999999</v>
      </c>
      <c r="R294" s="112"/>
      <c r="S294" s="112"/>
      <c r="T294" s="112"/>
      <c r="U294" s="112"/>
      <c r="V294" s="209"/>
      <c r="W294" s="209"/>
      <c r="X294" s="209"/>
      <c r="Y294" s="112"/>
      <c r="AA294" s="112"/>
      <c r="AB294" s="112"/>
      <c r="AP294" s="112"/>
      <c r="AQ294" s="112"/>
      <c r="AR294" s="112"/>
      <c r="AS294" s="112"/>
      <c r="AT294" s="112"/>
      <c r="AU294" s="112"/>
    </row>
    <row r="295" spans="2:47" hidden="1" x14ac:dyDescent="0.2">
      <c r="B295" s="112"/>
      <c r="C295" s="112"/>
      <c r="D295" s="112">
        <f t="shared" si="110"/>
        <v>0.11919318331937002</v>
      </c>
      <c r="E295" s="1">
        <f t="shared" si="109"/>
        <v>0.23408691608899324</v>
      </c>
      <c r="F295" s="112">
        <f t="shared" si="112"/>
        <v>4.4169596863126465E-2</v>
      </c>
      <c r="G295" s="112">
        <f t="shared" si="111"/>
        <v>3.0045891822137394</v>
      </c>
      <c r="H295" s="112"/>
      <c r="I295" s="112"/>
      <c r="J295" s="112"/>
      <c r="K295" s="112"/>
      <c r="L295" s="112" t="s">
        <v>176</v>
      </c>
      <c r="M295" s="112">
        <f>-0.74295/(Q279-2)-1.64765+LN(Q278)*(M291+M290*EXP(M289*LN(Q278)^M292))</f>
        <v>-1.7002092654016558</v>
      </c>
      <c r="N295" s="112">
        <f>1.645+N279/(Q279-2)+N293</f>
        <v>3.082661345758074</v>
      </c>
      <c r="O295" s="112"/>
      <c r="P295" s="112" t="s">
        <v>177</v>
      </c>
      <c r="Q295" s="112"/>
      <c r="R295" s="112"/>
      <c r="S295" s="112"/>
      <c r="T295" s="112"/>
      <c r="U295" s="112"/>
      <c r="V295" s="209"/>
      <c r="W295" s="209"/>
      <c r="X295" s="209"/>
      <c r="Y295" s="112"/>
      <c r="AA295" s="112"/>
      <c r="AB295" s="112"/>
      <c r="AP295" s="112"/>
      <c r="AQ295" s="112"/>
      <c r="AR295" s="112"/>
      <c r="AS295" s="112"/>
      <c r="AT295" s="112"/>
      <c r="AU295" s="112"/>
    </row>
    <row r="296" spans="2:47" hidden="1" x14ac:dyDescent="0.2">
      <c r="B296" s="112"/>
      <c r="C296" s="112"/>
      <c r="D296" s="112">
        <f t="shared" si="110"/>
        <v>0.12044784840694234</v>
      </c>
      <c r="E296" s="1">
        <f t="shared" si="109"/>
        <v>0.22647016234964712</v>
      </c>
      <c r="F296" s="112">
        <f t="shared" si="112"/>
        <v>4.463453998800148E-2</v>
      </c>
      <c r="G296" s="112">
        <f t="shared" si="111"/>
        <v>2.781748510983197</v>
      </c>
      <c r="H296" s="112"/>
      <c r="I296" s="112"/>
      <c r="J296" s="112"/>
      <c r="K296" s="112"/>
      <c r="L296" s="112"/>
      <c r="M296" s="112"/>
      <c r="N296" s="112"/>
      <c r="O296" s="112"/>
      <c r="P296" s="112" t="s">
        <v>178</v>
      </c>
      <c r="Q296" s="112"/>
      <c r="R296" s="112"/>
      <c r="S296" s="112"/>
      <c r="T296" s="112"/>
      <c r="U296" s="112"/>
      <c r="V296" s="209"/>
      <c r="W296" s="209"/>
      <c r="X296" s="209"/>
      <c r="Y296" s="112"/>
      <c r="AA296" s="112"/>
      <c r="AB296" s="112"/>
      <c r="AP296" s="112"/>
      <c r="AQ296" s="112"/>
      <c r="AR296" s="112"/>
      <c r="AS296" s="112"/>
      <c r="AT296" s="112"/>
      <c r="AU296" s="112"/>
    </row>
    <row r="297" spans="2:47" hidden="1" x14ac:dyDescent="0.2">
      <c r="B297" s="112"/>
      <c r="C297" s="112"/>
      <c r="D297" s="112">
        <f t="shared" si="110"/>
        <v>0.12170251349451465</v>
      </c>
      <c r="E297" s="1">
        <f t="shared" ref="E297:E300" si="113">(EXP(((LN(D297)-$AB$15)^2)/(-2*($AB$16^2))))/(D297*$AB$16*SQRT(2*PI()))</f>
        <v>0.21915526914503627</v>
      </c>
      <c r="F297" s="112">
        <f t="shared" si="112"/>
        <v>4.5099483112876496E-2</v>
      </c>
      <c r="G297" s="112">
        <f t="shared" si="111"/>
        <v>2.5721899944060924</v>
      </c>
      <c r="H297" s="112"/>
      <c r="I297" s="112"/>
      <c r="J297" s="112"/>
      <c r="K297" s="112"/>
      <c r="L297" s="112"/>
      <c r="M297" s="112"/>
      <c r="N297" s="112"/>
      <c r="O297" s="112"/>
      <c r="P297" s="112"/>
      <c r="Q297" s="112"/>
      <c r="R297" s="112"/>
      <c r="S297" s="112"/>
      <c r="T297" s="112"/>
      <c r="U297" s="112"/>
      <c r="V297" s="209"/>
      <c r="W297" s="209"/>
      <c r="X297" s="209"/>
      <c r="Y297" s="112"/>
      <c r="AA297" s="112"/>
      <c r="AB297" s="112"/>
      <c r="AP297" s="112"/>
      <c r="AQ297" s="112"/>
      <c r="AR297" s="112"/>
      <c r="AS297" s="112"/>
      <c r="AT297" s="112"/>
      <c r="AU297" s="112"/>
    </row>
    <row r="298" spans="2:47" hidden="1" x14ac:dyDescent="0.2">
      <c r="B298" s="112"/>
      <c r="C298" s="112"/>
      <c r="D298" s="112">
        <f t="shared" si="110"/>
        <v>0.12295717858208696</v>
      </c>
      <c r="E298" s="1">
        <f t="shared" si="113"/>
        <v>0.2121280728767993</v>
      </c>
      <c r="F298" s="112">
        <f t="shared" si="112"/>
        <v>4.5564426237751511E-2</v>
      </c>
      <c r="G298" s="112">
        <f t="shared" si="111"/>
        <v>2.3754212655873057</v>
      </c>
      <c r="H298" s="112"/>
      <c r="I298" s="112"/>
      <c r="J298" s="112"/>
      <c r="K298" s="112"/>
      <c r="L298" s="112"/>
      <c r="M298" s="112"/>
      <c r="N298" s="112"/>
      <c r="O298" s="112"/>
      <c r="P298" s="112"/>
      <c r="Q298" s="112"/>
      <c r="R298" s="112"/>
      <c r="S298" s="112"/>
      <c r="T298" s="112"/>
      <c r="U298" s="112"/>
      <c r="V298" s="209"/>
      <c r="W298" s="209"/>
      <c r="X298" s="209"/>
      <c r="Y298" s="112"/>
      <c r="AA298" s="112"/>
      <c r="AB298" s="112"/>
      <c r="AP298" s="112"/>
      <c r="AQ298" s="112"/>
      <c r="AR298" s="112"/>
      <c r="AS298" s="112"/>
      <c r="AT298" s="112"/>
      <c r="AU298" s="112"/>
    </row>
    <row r="299" spans="2:47" hidden="1" x14ac:dyDescent="0.2">
      <c r="B299" s="112"/>
      <c r="C299" s="112"/>
      <c r="D299" s="112">
        <f t="shared" si="110"/>
        <v>0.12421184366965927</v>
      </c>
      <c r="E299" s="1">
        <f t="shared" si="113"/>
        <v>0.20537517943095437</v>
      </c>
      <c r="F299" s="112">
        <f t="shared" si="112"/>
        <v>4.6029369362626527E-2</v>
      </c>
      <c r="G299" s="112">
        <f t="shared" si="111"/>
        <v>2.1909408406254425</v>
      </c>
      <c r="H299" s="112"/>
      <c r="I299" s="112"/>
      <c r="J299" s="112"/>
      <c r="K299" s="112"/>
      <c r="L299" s="112"/>
      <c r="M299" s="112"/>
      <c r="N299" s="112"/>
      <c r="O299" s="112"/>
      <c r="P299" s="112"/>
      <c r="Q299" s="112"/>
      <c r="R299" s="112"/>
      <c r="S299" s="112"/>
      <c r="T299" s="112"/>
      <c r="U299" s="112"/>
      <c r="V299" s="209"/>
      <c r="W299" s="209"/>
      <c r="X299" s="209"/>
      <c r="Y299" s="112"/>
      <c r="AA299" s="112"/>
      <c r="AB299" s="112"/>
      <c r="AP299" s="112"/>
      <c r="AQ299" s="112"/>
      <c r="AR299" s="112"/>
      <c r="AS299" s="112"/>
      <c r="AT299" s="112"/>
      <c r="AU299" s="112"/>
    </row>
    <row r="300" spans="2:47" hidden="1" x14ac:dyDescent="0.2">
      <c r="B300" s="112"/>
      <c r="C300" s="112"/>
      <c r="D300" s="112">
        <f t="shared" si="110"/>
        <v>0.12546650875723159</v>
      </c>
      <c r="E300" s="1">
        <f t="shared" si="113"/>
        <v>0.19888391662741978</v>
      </c>
      <c r="F300" s="112">
        <f t="shared" si="112"/>
        <v>4.6494312487501542E-2</v>
      </c>
      <c r="G300" s="112">
        <f t="shared" si="111"/>
        <v>2.0182412446931965</v>
      </c>
      <c r="H300" s="112"/>
      <c r="I300" s="112"/>
      <c r="J300" s="112"/>
      <c r="K300" s="112"/>
      <c r="L300" s="112"/>
      <c r="M300" s="112"/>
      <c r="N300" s="112"/>
      <c r="O300" s="112"/>
      <c r="P300" s="112"/>
      <c r="Q300" s="112"/>
      <c r="R300" s="112"/>
      <c r="S300" s="112"/>
      <c r="T300" s="112"/>
      <c r="U300" s="112"/>
      <c r="V300" s="209"/>
      <c r="W300" s="209"/>
      <c r="X300" s="209"/>
      <c r="Y300" s="112"/>
      <c r="AA300" s="112"/>
      <c r="AB300" s="112"/>
      <c r="AP300" s="112"/>
      <c r="AQ300" s="112"/>
      <c r="AR300" s="112"/>
      <c r="AS300" s="112"/>
      <c r="AT300" s="112"/>
      <c r="AU300" s="112"/>
    </row>
    <row r="301" spans="2:47" hidden="1" x14ac:dyDescent="0.2">
      <c r="B301" s="112"/>
      <c r="C301" s="112"/>
      <c r="D301" s="112"/>
      <c r="F301" s="112"/>
      <c r="G301" s="112"/>
      <c r="H301" s="112"/>
      <c r="I301" s="112"/>
      <c r="J301" s="112"/>
      <c r="K301" s="112"/>
      <c r="L301" s="112"/>
      <c r="M301" s="112"/>
      <c r="N301" s="112"/>
      <c r="O301" s="112"/>
      <c r="P301" s="112"/>
      <c r="Q301" s="112"/>
      <c r="R301" s="112"/>
      <c r="S301" s="112"/>
      <c r="T301" s="112"/>
      <c r="U301" s="112"/>
      <c r="V301" s="209"/>
      <c r="W301" s="209"/>
      <c r="X301" s="209"/>
      <c r="Y301" s="112"/>
      <c r="AA301" s="112"/>
      <c r="AB301" s="112"/>
      <c r="AP301" s="112"/>
      <c r="AQ301" s="112"/>
      <c r="AR301" s="112"/>
      <c r="AS301" s="112"/>
      <c r="AT301" s="112"/>
      <c r="AU301" s="112"/>
    </row>
    <row r="302" spans="2:47" hidden="1" x14ac:dyDescent="0.2">
      <c r="B302" s="112"/>
      <c r="C302" s="112"/>
      <c r="D302" s="112"/>
      <c r="F302" s="112"/>
      <c r="G302" s="112"/>
      <c r="H302" s="112"/>
      <c r="I302" s="112"/>
      <c r="J302" s="112"/>
      <c r="K302" s="112"/>
      <c r="L302" s="112"/>
      <c r="M302" s="112"/>
      <c r="N302" s="112"/>
      <c r="O302" s="112"/>
      <c r="P302" s="112"/>
      <c r="Q302" s="112"/>
      <c r="R302" s="112"/>
      <c r="S302" s="112"/>
      <c r="T302" s="112"/>
      <c r="U302" s="112"/>
      <c r="V302" s="209"/>
      <c r="W302" s="209"/>
      <c r="X302" s="209"/>
      <c r="Y302" s="112"/>
      <c r="AA302" s="112"/>
      <c r="AB302" s="112"/>
      <c r="AP302" s="112"/>
      <c r="AQ302" s="112"/>
      <c r="AR302" s="112"/>
      <c r="AS302" s="112"/>
      <c r="AT302" s="112"/>
      <c r="AU302" s="112"/>
    </row>
    <row r="303" spans="2:47" hidden="1" x14ac:dyDescent="0.2">
      <c r="B303" s="112"/>
      <c r="C303" s="112"/>
      <c r="D303" s="112"/>
      <c r="F303" s="112"/>
      <c r="G303" s="112"/>
      <c r="H303" s="112"/>
      <c r="I303" s="112"/>
      <c r="J303" s="112"/>
      <c r="K303" s="112"/>
      <c r="L303" s="112"/>
      <c r="M303" s="112"/>
      <c r="N303" s="112"/>
      <c r="O303" s="112"/>
      <c r="P303" s="112"/>
      <c r="Q303" s="112"/>
      <c r="R303" s="112"/>
      <c r="S303" s="112"/>
      <c r="T303" s="112"/>
      <c r="U303" s="112"/>
      <c r="V303" s="209"/>
      <c r="W303" s="209"/>
      <c r="X303" s="209"/>
      <c r="Y303" s="112"/>
      <c r="AA303" s="112"/>
      <c r="AB303" s="112"/>
      <c r="AP303" s="112"/>
      <c r="AQ303" s="112"/>
      <c r="AR303" s="112"/>
      <c r="AS303" s="112"/>
      <c r="AT303" s="112"/>
      <c r="AU303" s="112"/>
    </row>
    <row r="304" spans="2:47" hidden="1" x14ac:dyDescent="0.2">
      <c r="B304" s="112"/>
      <c r="C304" s="112"/>
      <c r="D304" s="112"/>
      <c r="F304" s="112"/>
      <c r="G304" s="112"/>
      <c r="H304" s="112"/>
      <c r="I304" s="112"/>
      <c r="J304" s="112"/>
      <c r="K304" s="112"/>
      <c r="L304" s="112"/>
      <c r="M304" s="112"/>
      <c r="N304" s="112"/>
      <c r="O304" s="112"/>
      <c r="P304" s="112"/>
      <c r="Q304" s="112"/>
      <c r="R304" s="112"/>
      <c r="S304" s="112"/>
      <c r="T304" s="112"/>
      <c r="U304" s="112"/>
      <c r="V304" s="209"/>
      <c r="W304" s="209"/>
      <c r="X304" s="209"/>
      <c r="Y304" s="112"/>
      <c r="AA304" s="112"/>
      <c r="AB304" s="112"/>
      <c r="AP304" s="112"/>
      <c r="AQ304" s="112"/>
      <c r="AR304" s="112"/>
      <c r="AS304" s="112"/>
      <c r="AT304" s="112"/>
      <c r="AU304" s="112"/>
    </row>
    <row r="305" spans="2:53" hidden="1" x14ac:dyDescent="0.2">
      <c r="B305" s="112"/>
      <c r="C305" s="112"/>
      <c r="D305" s="112"/>
      <c r="F305" s="112"/>
      <c r="G305" s="112"/>
      <c r="H305" s="112"/>
      <c r="I305" s="112"/>
      <c r="J305" s="112"/>
      <c r="K305" s="112"/>
      <c r="L305" s="112"/>
      <c r="M305" s="112"/>
      <c r="N305" s="112"/>
      <c r="O305" s="112"/>
      <c r="P305" s="112"/>
      <c r="Q305" s="112"/>
      <c r="R305" s="112"/>
      <c r="S305" s="112"/>
      <c r="T305" s="112"/>
      <c r="U305" s="112"/>
      <c r="V305" s="209"/>
      <c r="W305" s="209"/>
      <c r="X305" s="209"/>
      <c r="Y305" s="112"/>
      <c r="AA305" s="112"/>
      <c r="AB305" s="112"/>
      <c r="AP305" s="112"/>
      <c r="AQ305" s="112"/>
      <c r="AR305" s="112"/>
      <c r="AS305" s="112"/>
      <c r="AT305" s="112"/>
      <c r="AU305" s="112"/>
    </row>
    <row r="306" spans="2:53" hidden="1" x14ac:dyDescent="0.2">
      <c r="B306" s="112"/>
      <c r="C306" s="112"/>
      <c r="D306" s="112"/>
      <c r="F306" s="112"/>
      <c r="G306" s="112"/>
      <c r="H306" s="112"/>
      <c r="I306" s="112"/>
      <c r="J306" s="112"/>
      <c r="K306" s="112"/>
      <c r="L306" s="112"/>
      <c r="M306" s="112"/>
      <c r="N306" s="112"/>
      <c r="O306" s="112"/>
      <c r="P306" s="112"/>
      <c r="Q306" s="112"/>
      <c r="R306" s="112"/>
      <c r="S306" s="112"/>
      <c r="T306" s="112"/>
      <c r="U306" s="112"/>
      <c r="V306" s="209"/>
      <c r="W306" s="209"/>
      <c r="X306" s="209"/>
      <c r="Y306" s="112"/>
      <c r="AA306" s="112"/>
      <c r="AB306" s="112"/>
      <c r="AP306" s="112"/>
      <c r="AQ306" s="112"/>
      <c r="AR306" s="112"/>
      <c r="AS306" s="112"/>
      <c r="AT306" s="112"/>
      <c r="AU306" s="112"/>
    </row>
    <row r="307" spans="2:53" hidden="1" x14ac:dyDescent="0.2">
      <c r="B307" s="112"/>
      <c r="C307" s="112"/>
      <c r="D307" s="112"/>
      <c r="F307" s="112"/>
      <c r="G307" s="112"/>
      <c r="H307" s="112"/>
      <c r="I307" s="112"/>
      <c r="J307" s="112"/>
      <c r="K307" s="112"/>
      <c r="L307" s="112"/>
      <c r="M307" s="112"/>
      <c r="N307" s="112"/>
      <c r="O307" s="112"/>
      <c r="P307" s="112"/>
      <c r="Q307" s="112"/>
      <c r="R307" s="112"/>
      <c r="S307" s="112"/>
      <c r="T307" s="112"/>
      <c r="U307" s="112"/>
      <c r="V307" s="209"/>
      <c r="W307" s="209"/>
      <c r="X307" s="209"/>
      <c r="Y307" s="112"/>
      <c r="AA307" s="112"/>
      <c r="AB307" s="112"/>
      <c r="AP307" s="112"/>
      <c r="AQ307" s="112"/>
      <c r="AR307" s="112"/>
      <c r="AS307" s="112"/>
      <c r="AT307" s="112"/>
      <c r="AU307" s="112"/>
    </row>
    <row r="308" spans="2:53" hidden="1" x14ac:dyDescent="0.2">
      <c r="B308" s="112"/>
      <c r="C308" s="112"/>
      <c r="D308" s="112"/>
      <c r="F308" s="112"/>
      <c r="G308" s="112"/>
      <c r="H308" s="112"/>
      <c r="I308" s="112"/>
      <c r="J308" s="112"/>
      <c r="K308" s="112"/>
      <c r="L308" s="112"/>
      <c r="M308" s="112"/>
      <c r="N308" s="112"/>
      <c r="O308" s="112"/>
      <c r="P308" s="112"/>
      <c r="Q308" s="112"/>
      <c r="R308" s="112"/>
      <c r="S308" s="112"/>
      <c r="T308" s="112"/>
      <c r="U308" s="112"/>
      <c r="V308" s="209"/>
      <c r="W308" s="209"/>
      <c r="X308" s="209"/>
      <c r="Y308" s="112"/>
      <c r="AA308" s="112"/>
      <c r="AB308" s="112"/>
      <c r="AP308" s="112"/>
      <c r="AQ308" s="112"/>
      <c r="AR308" s="112"/>
      <c r="AS308" s="112"/>
      <c r="AT308" s="112"/>
      <c r="AU308" s="112"/>
    </row>
    <row r="309" spans="2:53" hidden="1" x14ac:dyDescent="0.2">
      <c r="B309" s="112"/>
      <c r="C309" s="112"/>
      <c r="D309" s="112"/>
      <c r="F309" s="112"/>
      <c r="G309" s="112"/>
      <c r="H309" s="112"/>
      <c r="I309" s="112"/>
      <c r="J309" s="112"/>
      <c r="K309" s="112"/>
      <c r="L309" s="112"/>
      <c r="M309" s="112"/>
      <c r="N309" s="112"/>
      <c r="O309" s="112"/>
      <c r="P309" s="112"/>
      <c r="Q309" s="112"/>
      <c r="R309" s="112"/>
      <c r="S309" s="112"/>
      <c r="T309" s="112"/>
      <c r="U309" s="112"/>
      <c r="V309" s="209"/>
      <c r="W309" s="209"/>
      <c r="X309" s="209"/>
      <c r="Y309" s="112"/>
      <c r="AA309" s="112"/>
      <c r="AB309" s="112"/>
      <c r="AP309" s="112"/>
      <c r="AQ309" s="112"/>
      <c r="AR309" s="112"/>
      <c r="AS309" s="112"/>
      <c r="AT309" s="112"/>
      <c r="AU309" s="112"/>
    </row>
    <row r="310" spans="2:53" hidden="1" x14ac:dyDescent="0.2">
      <c r="B310" s="112"/>
      <c r="C310" s="112"/>
      <c r="D310" s="112"/>
      <c r="F310" s="112"/>
      <c r="G310" s="112"/>
      <c r="H310" s="112"/>
      <c r="I310" s="112"/>
      <c r="J310" s="112"/>
      <c r="K310" s="112"/>
      <c r="L310" s="112"/>
      <c r="M310" s="112"/>
      <c r="N310" s="112"/>
      <c r="O310" s="112"/>
      <c r="P310" s="112"/>
      <c r="Q310" s="112"/>
      <c r="R310" s="112"/>
      <c r="S310" s="112"/>
      <c r="T310" s="112"/>
      <c r="U310" s="112"/>
      <c r="V310" s="209"/>
      <c r="W310" s="209"/>
      <c r="X310" s="209"/>
      <c r="Y310" s="112"/>
      <c r="AA310" s="112"/>
      <c r="AB310" s="112"/>
      <c r="AP310" s="112"/>
      <c r="AQ310" s="112"/>
      <c r="AR310" s="112"/>
      <c r="AS310" s="112"/>
      <c r="AT310" s="112"/>
      <c r="AU310" s="112"/>
    </row>
    <row r="311" spans="2:53" hidden="1" x14ac:dyDescent="0.2">
      <c r="B311" s="112"/>
      <c r="C311" s="112"/>
      <c r="D311" s="112" t="s">
        <v>179</v>
      </c>
      <c r="F311" s="112"/>
      <c r="G311" s="112"/>
      <c r="H311" s="112"/>
      <c r="I311" s="112"/>
      <c r="J311" s="112"/>
      <c r="K311" s="112"/>
      <c r="L311" s="112"/>
      <c r="M311" s="112"/>
      <c r="N311" s="112"/>
      <c r="O311" s="112"/>
      <c r="P311" s="112"/>
      <c r="Q311" s="112"/>
      <c r="R311" s="112"/>
      <c r="S311" s="112"/>
      <c r="T311" s="112"/>
      <c r="U311" s="112"/>
      <c r="V311" s="209"/>
      <c r="W311" s="209"/>
      <c r="X311" s="209"/>
      <c r="Y311" s="112"/>
      <c r="AA311" s="112"/>
      <c r="AB311" s="112"/>
      <c r="AP311" s="112"/>
      <c r="AQ311" s="112"/>
      <c r="AR311" s="112"/>
      <c r="AS311" s="112"/>
      <c r="AT311" s="112"/>
      <c r="AU311" s="112"/>
    </row>
    <row r="312" spans="2:53" hidden="1" x14ac:dyDescent="0.2">
      <c r="B312" s="112"/>
      <c r="C312" s="112"/>
      <c r="D312" s="112"/>
      <c r="E312" s="1">
        <v>2</v>
      </c>
      <c r="F312" s="112">
        <v>3</v>
      </c>
      <c r="G312" s="112">
        <v>4</v>
      </c>
      <c r="H312" s="112">
        <v>5</v>
      </c>
      <c r="I312" s="112">
        <v>6</v>
      </c>
      <c r="J312" s="112">
        <v>7</v>
      </c>
      <c r="K312" s="112">
        <v>8</v>
      </c>
      <c r="L312" s="112">
        <v>9</v>
      </c>
      <c r="M312" s="112">
        <v>10</v>
      </c>
      <c r="N312" s="112">
        <v>11</v>
      </c>
      <c r="O312" s="112">
        <v>12</v>
      </c>
      <c r="P312" s="112">
        <v>13</v>
      </c>
      <c r="Q312" s="112">
        <v>14</v>
      </c>
      <c r="R312" s="112">
        <v>15</v>
      </c>
      <c r="S312" s="192">
        <v>16</v>
      </c>
      <c r="T312" s="192">
        <v>17</v>
      </c>
      <c r="U312" s="112">
        <v>18</v>
      </c>
      <c r="V312" s="189">
        <v>19</v>
      </c>
      <c r="W312" s="112">
        <v>20</v>
      </c>
      <c r="X312" s="112">
        <v>21</v>
      </c>
      <c r="Y312" s="112">
        <v>22</v>
      </c>
      <c r="Z312" s="112">
        <v>23</v>
      </c>
      <c r="AA312" s="112">
        <v>24</v>
      </c>
      <c r="AB312" s="112">
        <v>25</v>
      </c>
      <c r="AC312" s="322">
        <v>26</v>
      </c>
      <c r="AD312" s="112">
        <v>27</v>
      </c>
      <c r="AE312" s="112">
        <v>28</v>
      </c>
      <c r="AF312" s="112">
        <v>29</v>
      </c>
      <c r="AG312" s="112">
        <v>30</v>
      </c>
      <c r="AH312" s="112">
        <v>31</v>
      </c>
      <c r="AI312" s="322">
        <v>32</v>
      </c>
      <c r="AJ312" s="112">
        <v>33</v>
      </c>
      <c r="AK312" s="112">
        <v>34</v>
      </c>
      <c r="AL312" s="112">
        <v>35</v>
      </c>
      <c r="AM312" s="112">
        <v>36</v>
      </c>
      <c r="AN312" s="112">
        <v>37</v>
      </c>
      <c r="AO312" s="112">
        <v>38</v>
      </c>
      <c r="AP312" s="112">
        <v>39</v>
      </c>
      <c r="AQ312" s="192">
        <v>40</v>
      </c>
      <c r="AR312" s="112">
        <v>41</v>
      </c>
      <c r="AS312" s="112">
        <v>42</v>
      </c>
      <c r="AT312" s="112">
        <v>43</v>
      </c>
      <c r="AU312" s="112">
        <v>44</v>
      </c>
      <c r="AV312" s="112">
        <v>45</v>
      </c>
      <c r="AW312" s="112">
        <v>46</v>
      </c>
      <c r="AX312" s="112">
        <v>47</v>
      </c>
      <c r="AY312" s="112">
        <v>48</v>
      </c>
      <c r="AZ312" s="112">
        <v>49</v>
      </c>
      <c r="BA312" s="112">
        <v>50</v>
      </c>
    </row>
    <row r="313" spans="2:53" hidden="1" x14ac:dyDescent="0.2">
      <c r="B313" s="112"/>
      <c r="C313" s="112"/>
      <c r="D313" s="112">
        <v>1</v>
      </c>
      <c r="E313" s="1">
        <v>0.70709999999999995</v>
      </c>
      <c r="F313" s="112">
        <v>0.70709999999999995</v>
      </c>
      <c r="G313" s="112">
        <v>0.68720000000000003</v>
      </c>
      <c r="H313" s="112">
        <v>0.66459999999999997</v>
      </c>
      <c r="I313" s="112">
        <v>0.6431</v>
      </c>
      <c r="J313" s="112">
        <v>0.62329999999999997</v>
      </c>
      <c r="K313" s="112">
        <v>0.60519999999999996</v>
      </c>
      <c r="L313" s="112">
        <v>0.58879999999999999</v>
      </c>
      <c r="M313" s="112">
        <v>0.57389999999999997</v>
      </c>
      <c r="N313" s="112">
        <v>0.56010000000000004</v>
      </c>
      <c r="O313" s="112">
        <v>0.54749999999999999</v>
      </c>
      <c r="P313" s="112">
        <v>0.53590000000000004</v>
      </c>
      <c r="Q313" s="112">
        <v>0.52510000000000001</v>
      </c>
      <c r="R313" s="112">
        <v>0.51500000000000001</v>
      </c>
      <c r="S313" s="209">
        <v>0.50560000000000005</v>
      </c>
      <c r="T313" s="209">
        <v>0.49680000000000002</v>
      </c>
      <c r="U313" s="112">
        <v>0.48859999999999998</v>
      </c>
      <c r="V313" s="189">
        <v>0.48080000000000001</v>
      </c>
      <c r="W313" s="112">
        <v>0.47339999999999999</v>
      </c>
      <c r="X313" s="112">
        <v>0.46429999999999999</v>
      </c>
      <c r="Y313" s="112">
        <v>0.45900000000000002</v>
      </c>
      <c r="Z313" s="112">
        <v>0.45419999999999999</v>
      </c>
      <c r="AA313" s="112">
        <v>0.44929999999999998</v>
      </c>
      <c r="AB313" s="112">
        <v>0.44500000000000001</v>
      </c>
      <c r="AC313" s="322">
        <v>0.44069999999999998</v>
      </c>
      <c r="AD313" s="112">
        <v>0.43659999999999999</v>
      </c>
      <c r="AE313" s="112">
        <v>0.43280000000000002</v>
      </c>
      <c r="AF313" s="112">
        <v>0.42909999999999998</v>
      </c>
      <c r="AG313" s="112">
        <v>0.4254</v>
      </c>
      <c r="AH313" s="112">
        <v>0.42199999999999999</v>
      </c>
      <c r="AI313" s="322">
        <v>0.41880000000000001</v>
      </c>
      <c r="AJ313" s="112">
        <v>0.41560000000000002</v>
      </c>
      <c r="AK313" s="112">
        <v>0.41270000000000001</v>
      </c>
      <c r="AL313" s="112">
        <v>0.40960000000000002</v>
      </c>
      <c r="AM313" s="112">
        <v>0.40679999999999999</v>
      </c>
      <c r="AN313" s="112">
        <v>0.40400000000000003</v>
      </c>
      <c r="AO313" s="112">
        <v>0.40150000000000002</v>
      </c>
      <c r="AP313" s="112">
        <v>0.39889999999999998</v>
      </c>
      <c r="AQ313" s="192">
        <v>0.39639999999999997</v>
      </c>
      <c r="AR313" s="112">
        <v>0.39400000000000002</v>
      </c>
      <c r="AS313" s="112">
        <v>0.39169999999999999</v>
      </c>
      <c r="AT313" s="112">
        <v>0.38940000000000002</v>
      </c>
      <c r="AU313" s="112">
        <v>0.38719999999999999</v>
      </c>
      <c r="AV313" s="112">
        <v>0.38500000000000001</v>
      </c>
      <c r="AW313" s="112">
        <v>0.38300000000000001</v>
      </c>
      <c r="AX313" s="112">
        <v>0.38080000000000003</v>
      </c>
      <c r="AY313" s="112">
        <v>0.37890000000000001</v>
      </c>
      <c r="AZ313" s="112">
        <v>0.377</v>
      </c>
      <c r="BA313" s="112">
        <v>0.37509999999999999</v>
      </c>
    </row>
    <row r="314" spans="2:53" hidden="1" x14ac:dyDescent="0.2">
      <c r="B314" s="112"/>
      <c r="C314" s="112"/>
      <c r="D314" s="112">
        <v>2</v>
      </c>
      <c r="F314" s="112">
        <v>0</v>
      </c>
      <c r="G314" s="112">
        <v>0.16769999999999999</v>
      </c>
      <c r="H314" s="112">
        <v>0.24129999999999999</v>
      </c>
      <c r="I314" s="112">
        <v>0.28960000000000002</v>
      </c>
      <c r="J314" s="112">
        <v>0.30309999999999998</v>
      </c>
      <c r="K314" s="112">
        <v>0.31640000000000001</v>
      </c>
      <c r="L314" s="112">
        <v>0.32440000000000002</v>
      </c>
      <c r="M314" s="112">
        <v>0.3291</v>
      </c>
      <c r="N314" s="112">
        <v>0.33150000000000002</v>
      </c>
      <c r="O314" s="112">
        <v>0.33250000000000002</v>
      </c>
      <c r="P314" s="112">
        <v>0.33250000000000002</v>
      </c>
      <c r="Q314" s="112">
        <v>0.33179999999999998</v>
      </c>
      <c r="R314" s="112">
        <v>0.3306</v>
      </c>
      <c r="S314" s="209">
        <v>0.32900000000000001</v>
      </c>
      <c r="T314" s="209">
        <v>0.32729999999999998</v>
      </c>
      <c r="U314" s="112">
        <v>0.32529999999999998</v>
      </c>
      <c r="V314" s="189">
        <v>0.32319999999999999</v>
      </c>
      <c r="W314" s="112">
        <v>0.3211</v>
      </c>
      <c r="X314" s="112">
        <v>0.31850000000000001</v>
      </c>
      <c r="Y314" s="112">
        <v>0.31559999999999999</v>
      </c>
      <c r="Z314" s="112">
        <v>0.31259999999999999</v>
      </c>
      <c r="AA314" s="112">
        <v>0.30980000000000002</v>
      </c>
      <c r="AB314" s="112">
        <v>0.30690000000000001</v>
      </c>
      <c r="AC314" s="322">
        <v>0.30430000000000001</v>
      </c>
      <c r="AD314" s="112">
        <v>0.30180000000000001</v>
      </c>
      <c r="AE314" s="112">
        <v>0.29920000000000002</v>
      </c>
      <c r="AF314" s="112">
        <v>0.29680000000000001</v>
      </c>
      <c r="AG314" s="112">
        <v>0.2944</v>
      </c>
      <c r="AH314" s="112">
        <v>0.29210000000000003</v>
      </c>
      <c r="AI314" s="322">
        <v>0.2898</v>
      </c>
      <c r="AJ314" s="112">
        <v>2876</v>
      </c>
      <c r="AK314" s="112">
        <v>0.28539999999999999</v>
      </c>
      <c r="AL314" s="112">
        <v>0.28339999999999999</v>
      </c>
      <c r="AM314" s="112">
        <v>0.28129999999999999</v>
      </c>
      <c r="AN314" s="112">
        <v>0.27939999999999998</v>
      </c>
      <c r="AO314" s="112">
        <v>0.27739999999999998</v>
      </c>
      <c r="AP314" s="112">
        <v>0.27550000000000002</v>
      </c>
      <c r="AQ314" s="192">
        <v>0.2737</v>
      </c>
      <c r="AR314" s="112">
        <v>0.27189999999999998</v>
      </c>
      <c r="AS314" s="112">
        <v>0.27010000000000001</v>
      </c>
      <c r="AT314" s="112">
        <v>0.26840000000000003</v>
      </c>
      <c r="AU314" s="112">
        <v>0.26669999999999999</v>
      </c>
      <c r="AV314" s="112">
        <v>0.2651</v>
      </c>
      <c r="AW314" s="112">
        <v>0.26350000000000001</v>
      </c>
      <c r="AX314" s="112">
        <v>0.26200000000000001</v>
      </c>
      <c r="AY314" s="112">
        <v>0.26040000000000002</v>
      </c>
      <c r="AZ314" s="112">
        <v>0.25890000000000002</v>
      </c>
      <c r="BA314" s="112">
        <v>0.25740000000000002</v>
      </c>
    </row>
    <row r="315" spans="2:53" hidden="1" x14ac:dyDescent="0.2">
      <c r="B315" s="112"/>
      <c r="C315" s="112"/>
      <c r="D315" s="112">
        <v>3</v>
      </c>
      <c r="F315" s="112"/>
      <c r="G315" s="112"/>
      <c r="H315" s="112">
        <v>0</v>
      </c>
      <c r="I315" s="112">
        <v>8.7499999999999994E-2</v>
      </c>
      <c r="J315" s="112">
        <v>0.1401</v>
      </c>
      <c r="K315" s="112">
        <v>0.17430000000000001</v>
      </c>
      <c r="L315" s="112">
        <v>0.1976</v>
      </c>
      <c r="M315" s="112">
        <v>0.21410000000000001</v>
      </c>
      <c r="N315" s="112">
        <v>0.22600000000000001</v>
      </c>
      <c r="O315" s="112">
        <v>0.23469999999999999</v>
      </c>
      <c r="P315" s="112">
        <v>0.2412</v>
      </c>
      <c r="Q315" s="112">
        <v>0.246</v>
      </c>
      <c r="R315" s="112">
        <v>0.2495</v>
      </c>
      <c r="S315" s="209">
        <v>0.25209999999999999</v>
      </c>
      <c r="T315" s="209">
        <v>0.254</v>
      </c>
      <c r="U315" s="112">
        <v>0.25530000000000003</v>
      </c>
      <c r="V315" s="189">
        <v>0.25609999999999999</v>
      </c>
      <c r="W315" s="112">
        <v>0.25650000000000001</v>
      </c>
      <c r="X315" s="112">
        <v>0.25779999999999997</v>
      </c>
      <c r="Y315" s="112">
        <v>0.2571</v>
      </c>
      <c r="Z315" s="112">
        <v>0.25629999999999997</v>
      </c>
      <c r="AA315" s="112">
        <v>0.25540000000000002</v>
      </c>
      <c r="AB315" s="112">
        <v>0.25430000000000003</v>
      </c>
      <c r="AC315" s="322">
        <v>0.25330000000000003</v>
      </c>
      <c r="AD315" s="112">
        <v>0.25219999999999998</v>
      </c>
      <c r="AE315" s="112">
        <v>0.251</v>
      </c>
      <c r="AF315" s="112">
        <v>0.24990000000000001</v>
      </c>
      <c r="AG315" s="112">
        <v>0.2487</v>
      </c>
      <c r="AH315" s="112">
        <v>0.2475</v>
      </c>
      <c r="AI315" s="322">
        <v>0.2462</v>
      </c>
      <c r="AJ315" s="112">
        <v>0.24510000000000001</v>
      </c>
      <c r="AK315" s="112">
        <v>0.24390000000000001</v>
      </c>
      <c r="AL315" s="112">
        <v>0.2427</v>
      </c>
      <c r="AM315" s="112">
        <v>0.24149999999999999</v>
      </c>
      <c r="AN315" s="112">
        <v>0.24030000000000001</v>
      </c>
      <c r="AO315" s="112">
        <v>0.23910000000000001</v>
      </c>
      <c r="AP315" s="112">
        <v>0.23799999999999999</v>
      </c>
      <c r="AQ315" s="192">
        <v>0.23680000000000001</v>
      </c>
      <c r="AR315" s="112">
        <v>0.23569999999999999</v>
      </c>
      <c r="AS315" s="112">
        <v>0.23449999999999999</v>
      </c>
      <c r="AT315" s="112">
        <v>0.2334</v>
      </c>
      <c r="AU315" s="112">
        <v>0.23230000000000001</v>
      </c>
      <c r="AV315" s="112">
        <v>0.23130000000000001</v>
      </c>
      <c r="AW315" s="112">
        <v>0.23019999999999999</v>
      </c>
      <c r="AX315" s="112">
        <v>0.2291</v>
      </c>
      <c r="AY315" s="112">
        <v>0.2281</v>
      </c>
      <c r="AZ315" s="112">
        <v>0.2271</v>
      </c>
      <c r="BA315" s="112">
        <v>0.22600000000000001</v>
      </c>
    </row>
    <row r="316" spans="2:53" hidden="1" x14ac:dyDescent="0.2">
      <c r="B316" s="112"/>
      <c r="C316" s="112"/>
      <c r="D316" s="112">
        <v>4</v>
      </c>
      <c r="F316" s="112"/>
      <c r="G316" s="112"/>
      <c r="H316" s="112"/>
      <c r="I316" s="112"/>
      <c r="J316" s="112">
        <v>0</v>
      </c>
      <c r="K316" s="112">
        <v>5.6099999999999997E-2</v>
      </c>
      <c r="L316" s="112">
        <v>9.4700000000000006E-2</v>
      </c>
      <c r="M316" s="112">
        <v>0.12239999999999999</v>
      </c>
      <c r="N316" s="112">
        <v>0.1429</v>
      </c>
      <c r="O316" s="112">
        <v>0.15859999999999999</v>
      </c>
      <c r="P316" s="112">
        <v>0.17069999999999999</v>
      </c>
      <c r="Q316" s="112">
        <v>0.1802</v>
      </c>
      <c r="R316" s="112">
        <v>0.18779999999999999</v>
      </c>
      <c r="S316" s="209">
        <v>0.19389999999999999</v>
      </c>
      <c r="T316" s="209">
        <v>0.1988</v>
      </c>
      <c r="U316" s="112">
        <v>0.20269999999999999</v>
      </c>
      <c r="V316" s="189">
        <v>0.2059</v>
      </c>
      <c r="W316" s="112">
        <v>0.20849999999999999</v>
      </c>
      <c r="X316" s="112">
        <v>0.21190000000000001</v>
      </c>
      <c r="Y316" s="112">
        <v>0.21310000000000001</v>
      </c>
      <c r="Z316" s="112">
        <v>0.21390000000000001</v>
      </c>
      <c r="AA316" s="112">
        <v>0.2145</v>
      </c>
      <c r="AB316" s="112">
        <v>0.21479999999999999</v>
      </c>
      <c r="AC316" s="322">
        <v>0.21510000000000001</v>
      </c>
      <c r="AD316" s="112">
        <v>0.2152</v>
      </c>
      <c r="AE316" s="112">
        <v>0.21510000000000001</v>
      </c>
      <c r="AF316" s="112">
        <v>0.215</v>
      </c>
      <c r="AG316" s="112">
        <v>0.21479999999999999</v>
      </c>
      <c r="AH316" s="112">
        <v>0.2145</v>
      </c>
      <c r="AI316" s="322">
        <v>0.21410000000000001</v>
      </c>
      <c r="AJ316" s="112">
        <v>0.2137</v>
      </c>
      <c r="AK316" s="112">
        <v>0.2132</v>
      </c>
      <c r="AL316" s="112">
        <v>0.2127</v>
      </c>
      <c r="AM316" s="112">
        <v>0.21210000000000001</v>
      </c>
      <c r="AN316" s="112">
        <v>0.21160000000000001</v>
      </c>
      <c r="AO316" s="112">
        <v>0.21099999999999999</v>
      </c>
      <c r="AP316" s="112">
        <v>0.2104</v>
      </c>
      <c r="AQ316" s="192">
        <v>0.20979999999999999</v>
      </c>
      <c r="AR316" s="112">
        <v>0.20910000000000001</v>
      </c>
      <c r="AS316" s="112">
        <v>0.20849999999999999</v>
      </c>
      <c r="AT316" s="112">
        <v>0.20780000000000001</v>
      </c>
      <c r="AU316" s="112">
        <v>0.2072</v>
      </c>
      <c r="AV316" s="112">
        <v>0.20649999999999999</v>
      </c>
      <c r="AW316" s="112">
        <v>0.20580000000000001</v>
      </c>
      <c r="AX316" s="112">
        <v>0.20519999999999999</v>
      </c>
      <c r="AY316" s="112">
        <v>0.20449999999999999</v>
      </c>
      <c r="AZ316" s="112">
        <v>0.20380000000000001</v>
      </c>
      <c r="BA316" s="112">
        <v>0.20319999999999999</v>
      </c>
    </row>
    <row r="317" spans="2:53" hidden="1" x14ac:dyDescent="0.2">
      <c r="B317" s="112"/>
      <c r="C317" s="112"/>
      <c r="D317" s="112">
        <v>5</v>
      </c>
      <c r="F317" s="112"/>
      <c r="G317" s="112"/>
      <c r="H317" s="112"/>
      <c r="I317" s="112"/>
      <c r="J317" s="112"/>
      <c r="K317" s="112"/>
      <c r="L317" s="112">
        <v>0</v>
      </c>
      <c r="M317" s="112">
        <v>3.9899999999999998E-2</v>
      </c>
      <c r="N317" s="112">
        <v>6.9500000000000006E-2</v>
      </c>
      <c r="O317" s="112">
        <v>9.2200000000000004E-2</v>
      </c>
      <c r="P317" s="112">
        <v>0.1099</v>
      </c>
      <c r="Q317" s="112">
        <v>0.124</v>
      </c>
      <c r="R317" s="112">
        <v>0.1353</v>
      </c>
      <c r="S317" s="209">
        <v>0.1447</v>
      </c>
      <c r="T317" s="209">
        <v>0.15240000000000001</v>
      </c>
      <c r="U317" s="112">
        <v>0.15870000000000001</v>
      </c>
      <c r="V317" s="189">
        <v>0.1641</v>
      </c>
      <c r="W317" s="112">
        <v>0.1686</v>
      </c>
      <c r="X317" s="112">
        <v>0.1736</v>
      </c>
      <c r="Y317" s="112">
        <v>0.1764</v>
      </c>
      <c r="Z317" s="112">
        <v>0.1787</v>
      </c>
      <c r="AA317" s="112">
        <v>0.1807</v>
      </c>
      <c r="AB317" s="112">
        <v>0.1822</v>
      </c>
      <c r="AC317" s="322">
        <v>0.18360000000000001</v>
      </c>
      <c r="AD317" s="112">
        <v>0.18479999999999999</v>
      </c>
      <c r="AE317" s="112">
        <v>0.1857</v>
      </c>
      <c r="AF317" s="112">
        <v>0.18640000000000001</v>
      </c>
      <c r="AG317" s="112">
        <v>0.187</v>
      </c>
      <c r="AH317" s="112">
        <v>0.18740000000000001</v>
      </c>
      <c r="AI317" s="322">
        <v>0.18779999999999999</v>
      </c>
      <c r="AJ317" s="112">
        <v>0.188</v>
      </c>
      <c r="AK317" s="112">
        <v>0.18820000000000001</v>
      </c>
      <c r="AL317" s="112">
        <v>0.1883</v>
      </c>
      <c r="AM317" s="112">
        <v>0.1883</v>
      </c>
      <c r="AN317" s="112">
        <v>0.1883</v>
      </c>
      <c r="AO317" s="112">
        <v>0.18809999999999999</v>
      </c>
      <c r="AP317" s="112">
        <v>0.188</v>
      </c>
      <c r="AQ317" s="192">
        <v>0.18779999999999999</v>
      </c>
      <c r="AR317" s="112">
        <v>0.18759999999999999</v>
      </c>
      <c r="AS317" s="112">
        <v>0.18740000000000001</v>
      </c>
      <c r="AT317" s="112">
        <v>0.18709999999999999</v>
      </c>
      <c r="AU317" s="112">
        <v>0.18679999999999999</v>
      </c>
      <c r="AV317" s="112">
        <v>0.1865</v>
      </c>
      <c r="AW317" s="112">
        <v>0.1862</v>
      </c>
      <c r="AX317" s="112">
        <v>0.18590000000000001</v>
      </c>
      <c r="AY317" s="112">
        <v>0.1855</v>
      </c>
      <c r="AZ317" s="112">
        <v>0.18509999999999999</v>
      </c>
      <c r="BA317" s="112">
        <v>0.1847</v>
      </c>
    </row>
    <row r="318" spans="2:53" hidden="1" x14ac:dyDescent="0.2">
      <c r="B318" s="112"/>
      <c r="C318" s="112"/>
      <c r="D318" s="112">
        <v>6</v>
      </c>
      <c r="F318" s="112"/>
      <c r="G318" s="112"/>
      <c r="H318" s="112"/>
      <c r="I318" s="112"/>
      <c r="J318" s="112"/>
      <c r="K318" s="112"/>
      <c r="L318" s="112"/>
      <c r="M318" s="112"/>
      <c r="N318" s="112">
        <v>0</v>
      </c>
      <c r="O318" s="112">
        <v>3.0300000000000001E-2</v>
      </c>
      <c r="P318" s="112">
        <v>5.3900000000000003E-2</v>
      </c>
      <c r="Q318" s="112">
        <v>7.2700000000000001E-2</v>
      </c>
      <c r="R318" s="112">
        <v>8.7999999999999995E-2</v>
      </c>
      <c r="S318" s="209">
        <v>0.10050000000000001</v>
      </c>
      <c r="T318" s="209">
        <v>0.1109</v>
      </c>
      <c r="U318" s="112">
        <v>0.1197</v>
      </c>
      <c r="V318" s="189">
        <v>0.12709999999999999</v>
      </c>
      <c r="W318" s="112">
        <v>0.13339999999999999</v>
      </c>
      <c r="X318" s="112">
        <v>0.1399</v>
      </c>
      <c r="Y318" s="112">
        <v>0.14430000000000001</v>
      </c>
      <c r="Z318" s="112">
        <v>0.14799999999999999</v>
      </c>
      <c r="AA318" s="112">
        <v>0.1512</v>
      </c>
      <c r="AB318" s="112">
        <v>0.15390000000000001</v>
      </c>
      <c r="AC318" s="322">
        <v>0.15629999999999999</v>
      </c>
      <c r="AD318" s="112">
        <v>0.15840000000000001</v>
      </c>
      <c r="AE318" s="112">
        <v>0.16009999999999999</v>
      </c>
      <c r="AF318" s="112">
        <v>0.16159999999999999</v>
      </c>
      <c r="AG318" s="112">
        <v>0.16300000000000001</v>
      </c>
      <c r="AH318" s="112">
        <v>0.1641</v>
      </c>
      <c r="AI318" s="322">
        <v>0.1651</v>
      </c>
      <c r="AJ318" s="112">
        <v>0.16600000000000001</v>
      </c>
      <c r="AK318" s="112">
        <v>0.16669999999999999</v>
      </c>
      <c r="AL318" s="112">
        <v>0.1673</v>
      </c>
      <c r="AM318" s="112">
        <v>0.1678</v>
      </c>
      <c r="AN318" s="112">
        <v>0.16830000000000001</v>
      </c>
      <c r="AO318" s="112">
        <v>0.1686</v>
      </c>
      <c r="AP318" s="112">
        <v>0.16889999999999999</v>
      </c>
      <c r="AQ318" s="192">
        <v>0.1691</v>
      </c>
      <c r="AR318" s="112">
        <v>0.16930000000000001</v>
      </c>
      <c r="AS318" s="112">
        <v>0.1694</v>
      </c>
      <c r="AT318" s="112">
        <v>0.16950000000000001</v>
      </c>
      <c r="AU318" s="112">
        <v>0.16950000000000001</v>
      </c>
      <c r="AV318" s="112">
        <v>0.16950000000000001</v>
      </c>
      <c r="AW318" s="112">
        <v>0.16950000000000001</v>
      </c>
      <c r="AX318" s="112">
        <v>0.16950000000000001</v>
      </c>
      <c r="AY318" s="112">
        <v>0.16930000000000001</v>
      </c>
      <c r="AZ318" s="112">
        <v>0.16919999999999999</v>
      </c>
      <c r="BA318" s="112">
        <v>0.1691</v>
      </c>
    </row>
    <row r="319" spans="2:53" hidden="1" x14ac:dyDescent="0.2">
      <c r="B319" s="112"/>
      <c r="C319" s="112"/>
      <c r="D319" s="112">
        <v>7</v>
      </c>
      <c r="F319" s="112"/>
      <c r="G319" s="112"/>
      <c r="H319" s="112"/>
      <c r="I319" s="112"/>
      <c r="J319" s="112"/>
      <c r="K319" s="112"/>
      <c r="L319" s="112"/>
      <c r="M319" s="112"/>
      <c r="N319" s="112"/>
      <c r="O319" s="112"/>
      <c r="P319" s="112">
        <v>0</v>
      </c>
      <c r="Q319" s="112">
        <v>2.4E-2</v>
      </c>
      <c r="R319" s="112">
        <v>4.3299999999999998E-2</v>
      </c>
      <c r="S319" s="209">
        <v>5.9299999999999999E-2</v>
      </c>
      <c r="T319" s="209">
        <v>7.2499999999999995E-2</v>
      </c>
      <c r="U319" s="112">
        <v>8.3699999999999997E-2</v>
      </c>
      <c r="V319" s="189">
        <v>9.3200000000000005E-2</v>
      </c>
      <c r="W319" s="112">
        <v>0.1013</v>
      </c>
      <c r="X319" s="112">
        <v>0.10920000000000001</v>
      </c>
      <c r="Y319" s="112">
        <v>0.115</v>
      </c>
      <c r="Z319" s="112">
        <v>0.1201</v>
      </c>
      <c r="AA319" s="112">
        <v>0.1245</v>
      </c>
      <c r="AB319" s="112">
        <v>0.1283</v>
      </c>
      <c r="AC319" s="322">
        <v>0.13159999999999999</v>
      </c>
      <c r="AD319" s="112">
        <v>0.1346</v>
      </c>
      <c r="AE319" s="112">
        <v>0.13719999999999999</v>
      </c>
      <c r="AF319" s="112">
        <v>0.13950000000000001</v>
      </c>
      <c r="AG319" s="112">
        <v>0.14149999999999999</v>
      </c>
      <c r="AH319" s="112">
        <v>0.14330000000000001</v>
      </c>
      <c r="AI319" s="322">
        <v>0.1449</v>
      </c>
      <c r="AJ319" s="112">
        <v>0.14630000000000001</v>
      </c>
      <c r="AK319" s="112">
        <v>0.14749999999999999</v>
      </c>
      <c r="AL319" s="112">
        <v>0.1487</v>
      </c>
      <c r="AM319" s="112">
        <v>0.14960000000000001</v>
      </c>
      <c r="AN319" s="112">
        <v>0.15049999999999999</v>
      </c>
      <c r="AO319" s="112">
        <v>0.15129999999999999</v>
      </c>
      <c r="AP319" s="112">
        <v>0.152</v>
      </c>
      <c r="AQ319" s="192">
        <v>0.15260000000000001</v>
      </c>
      <c r="AR319" s="112">
        <v>0.15310000000000001</v>
      </c>
      <c r="AS319" s="112">
        <v>0.1535</v>
      </c>
      <c r="AT319" s="112">
        <v>0.15390000000000001</v>
      </c>
      <c r="AU319" s="112">
        <v>0.1542</v>
      </c>
      <c r="AV319" s="112">
        <v>0.1545</v>
      </c>
      <c r="AW319" s="112">
        <v>0.15479999999999999</v>
      </c>
      <c r="AX319" s="112">
        <v>0.155</v>
      </c>
      <c r="AY319" s="112">
        <v>0.15509999999999999</v>
      </c>
      <c r="AZ319" s="112">
        <v>0.15529999999999999</v>
      </c>
      <c r="BA319" s="112">
        <v>0.15540000000000001</v>
      </c>
    </row>
    <row r="320" spans="2:53" hidden="1" x14ac:dyDescent="0.2">
      <c r="B320" s="112"/>
      <c r="C320" s="112"/>
      <c r="D320" s="112">
        <v>8</v>
      </c>
      <c r="F320" s="112"/>
      <c r="G320" s="112"/>
      <c r="H320" s="112"/>
      <c r="I320" s="112"/>
      <c r="J320" s="112"/>
      <c r="K320" s="112"/>
      <c r="L320" s="112"/>
      <c r="M320" s="112"/>
      <c r="N320" s="112"/>
      <c r="O320" s="112"/>
      <c r="P320" s="112"/>
      <c r="Q320" s="112"/>
      <c r="R320" s="112">
        <v>0</v>
      </c>
      <c r="S320" s="209">
        <v>1.9599999999999999E-2</v>
      </c>
      <c r="T320" s="209">
        <v>3.5900000000000001E-2</v>
      </c>
      <c r="U320" s="112">
        <v>4.9599999999999998E-2</v>
      </c>
      <c r="V320" s="189">
        <v>6.1199999999999997E-2</v>
      </c>
      <c r="W320" s="112">
        <v>7.1099999999999997E-2</v>
      </c>
      <c r="X320" s="112">
        <v>8.0399999999999999E-2</v>
      </c>
      <c r="Y320" s="112">
        <v>8.7800000000000003E-2</v>
      </c>
      <c r="Z320" s="112">
        <v>9.4100000000000003E-2</v>
      </c>
      <c r="AA320" s="112">
        <v>9.9699999999999997E-2</v>
      </c>
      <c r="AB320" s="112">
        <v>0.1046</v>
      </c>
      <c r="AC320" s="322">
        <v>0.1089</v>
      </c>
      <c r="AD320" s="112">
        <v>0.1128</v>
      </c>
      <c r="AE320" s="112">
        <v>0.1162</v>
      </c>
      <c r="AF320" s="112">
        <v>0.1192</v>
      </c>
      <c r="AG320" s="112">
        <v>0.12189999999999999</v>
      </c>
      <c r="AH320" s="112">
        <v>0.12429999999999999</v>
      </c>
      <c r="AI320" s="322">
        <v>0.1265</v>
      </c>
      <c r="AJ320" s="112">
        <v>0.12839999999999999</v>
      </c>
      <c r="AK320" s="112">
        <v>0.13009999999999999</v>
      </c>
      <c r="AL320" s="112">
        <v>0.13170000000000001</v>
      </c>
      <c r="AM320" s="112">
        <v>0.1331</v>
      </c>
      <c r="AN320" s="112">
        <v>0.13439999999999999</v>
      </c>
      <c r="AO320" s="112">
        <v>0.1356</v>
      </c>
      <c r="AP320" s="112">
        <v>0.1366</v>
      </c>
      <c r="AQ320" s="192">
        <v>0.1376</v>
      </c>
      <c r="AR320" s="112">
        <v>0.1384</v>
      </c>
      <c r="AS320" s="112">
        <v>0.13919999999999999</v>
      </c>
      <c r="AT320" s="112">
        <v>0.13980000000000001</v>
      </c>
      <c r="AU320" s="112">
        <v>0.14050000000000001</v>
      </c>
      <c r="AV320" s="112">
        <v>0.14099999999999999</v>
      </c>
      <c r="AW320" s="112">
        <v>0.14149999999999999</v>
      </c>
      <c r="AX320" s="112">
        <v>0.14199999999999999</v>
      </c>
      <c r="AY320" s="112">
        <v>0.14230000000000001</v>
      </c>
      <c r="AZ320" s="112">
        <v>0.14269999999999999</v>
      </c>
      <c r="BA320" s="112">
        <v>0.14299999999999999</v>
      </c>
    </row>
    <row r="321" spans="2:53" hidden="1" x14ac:dyDescent="0.2">
      <c r="B321" s="112"/>
      <c r="C321" s="112"/>
      <c r="D321" s="112">
        <v>9</v>
      </c>
      <c r="F321" s="112"/>
      <c r="G321" s="112"/>
      <c r="H321" s="112"/>
      <c r="I321" s="112"/>
      <c r="J321" s="112"/>
      <c r="K321" s="112"/>
      <c r="L321" s="112"/>
      <c r="M321" s="112"/>
      <c r="N321" s="112"/>
      <c r="O321" s="112"/>
      <c r="P321" s="112"/>
      <c r="Q321" s="112"/>
      <c r="R321" s="112"/>
      <c r="S321" s="209"/>
      <c r="T321" s="209">
        <v>0</v>
      </c>
      <c r="U321" s="112">
        <v>1.6299999999999999E-2</v>
      </c>
      <c r="V321" s="189">
        <v>3.0300000000000001E-2</v>
      </c>
      <c r="W321" s="112">
        <v>4.2200000000000001E-2</v>
      </c>
      <c r="X321" s="112">
        <v>5.2999999999999999E-2</v>
      </c>
      <c r="Y321" s="112">
        <v>6.1800000000000001E-2</v>
      </c>
      <c r="Z321" s="112">
        <v>6.9599999999999995E-2</v>
      </c>
      <c r="AA321" s="112">
        <v>7.6399999999999996E-2</v>
      </c>
      <c r="AB321" s="112">
        <v>8.2299999999999998E-2</v>
      </c>
      <c r="AC321" s="322">
        <v>8.7599999999999997E-2</v>
      </c>
      <c r="AD321" s="112">
        <v>9.2299999999999993E-2</v>
      </c>
      <c r="AE321" s="112">
        <v>9.6500000000000002E-2</v>
      </c>
      <c r="AF321" s="112">
        <v>0.1002</v>
      </c>
      <c r="AG321" s="112">
        <v>0.1036</v>
      </c>
      <c r="AH321" s="112">
        <v>0.1066</v>
      </c>
      <c r="AI321" s="322">
        <v>0.10929999999999999</v>
      </c>
      <c r="AJ321" s="112">
        <v>0.1116</v>
      </c>
      <c r="AK321" s="112">
        <v>0.114</v>
      </c>
      <c r="AL321" s="112">
        <v>0.11600000000000001</v>
      </c>
      <c r="AM321" s="112">
        <v>0.1179</v>
      </c>
      <c r="AN321" s="112">
        <v>0.1196</v>
      </c>
      <c r="AO321" s="112">
        <v>0.1211</v>
      </c>
      <c r="AP321" s="112">
        <v>0.1225</v>
      </c>
      <c r="AQ321" s="192">
        <v>0.1237</v>
      </c>
      <c r="AR321" s="112">
        <v>0.1249</v>
      </c>
      <c r="AS321" s="112">
        <v>0.12590000000000001</v>
      </c>
      <c r="AT321" s="112">
        <v>0.12690000000000001</v>
      </c>
      <c r="AU321" s="112">
        <v>0.1278</v>
      </c>
      <c r="AV321" s="112">
        <v>0.12859999999999999</v>
      </c>
      <c r="AW321" s="112">
        <v>0.1293</v>
      </c>
      <c r="AX321" s="112">
        <v>0.13</v>
      </c>
      <c r="AY321" s="112">
        <v>0.13059999999999999</v>
      </c>
      <c r="AZ321" s="112">
        <v>0.13120000000000001</v>
      </c>
      <c r="BA321" s="112">
        <v>0.13170000000000001</v>
      </c>
    </row>
    <row r="322" spans="2:53" hidden="1" x14ac:dyDescent="0.2">
      <c r="B322" s="112"/>
      <c r="C322" s="112"/>
      <c r="D322" s="112">
        <v>10</v>
      </c>
      <c r="F322" s="112"/>
      <c r="G322" s="112"/>
      <c r="H322" s="112"/>
      <c r="I322" s="112"/>
      <c r="J322" s="112"/>
      <c r="K322" s="112"/>
      <c r="L322" s="112"/>
      <c r="M322" s="112"/>
      <c r="N322" s="112"/>
      <c r="O322" s="112"/>
      <c r="P322" s="112"/>
      <c r="Q322" s="112"/>
      <c r="R322" s="112"/>
      <c r="S322" s="209"/>
      <c r="T322" s="209"/>
      <c r="U322" s="112"/>
      <c r="V322" s="189">
        <v>0</v>
      </c>
      <c r="W322" s="112">
        <v>1.4E-2</v>
      </c>
      <c r="X322" s="112">
        <v>2.63E-2</v>
      </c>
      <c r="Y322" s="112">
        <v>3.6799999999999999E-2</v>
      </c>
      <c r="Z322" s="112">
        <v>4.5900000000000003E-2</v>
      </c>
      <c r="AA322" s="112">
        <v>5.3900000000000003E-2</v>
      </c>
      <c r="AB322" s="112">
        <v>6.0999999999999999E-2</v>
      </c>
      <c r="AC322" s="322">
        <v>6.7199999999999996E-2</v>
      </c>
      <c r="AD322" s="112">
        <v>7.2800000000000004E-2</v>
      </c>
      <c r="AE322" s="112">
        <v>7.7799999999999994E-2</v>
      </c>
      <c r="AF322" s="112">
        <v>8.2199999999999995E-2</v>
      </c>
      <c r="AG322" s="112">
        <v>8.6199999999999999E-2</v>
      </c>
      <c r="AH322" s="112">
        <v>8.9899999999999994E-2</v>
      </c>
      <c r="AI322" s="322">
        <v>9.3100000000000002E-2</v>
      </c>
      <c r="AJ322" s="112">
        <v>9.6100000000000005E-2</v>
      </c>
      <c r="AK322" s="112">
        <v>9.8799999999999999E-2</v>
      </c>
      <c r="AL322" s="112">
        <v>0.1013</v>
      </c>
      <c r="AM322" s="112">
        <v>0.1036</v>
      </c>
      <c r="AN322" s="112">
        <v>0.1056</v>
      </c>
      <c r="AO322" s="112">
        <v>0.1075</v>
      </c>
      <c r="AP322" s="112">
        <v>0.10920000000000001</v>
      </c>
      <c r="AQ322" s="192">
        <v>0.1108</v>
      </c>
      <c r="AR322" s="112">
        <v>0.1123</v>
      </c>
      <c r="AS322" s="112">
        <v>0.11360000000000001</v>
      </c>
      <c r="AT322" s="112">
        <v>0.1149</v>
      </c>
      <c r="AU322" s="112">
        <v>0.11600000000000001</v>
      </c>
      <c r="AV322" s="112">
        <v>0.11700000000000001</v>
      </c>
      <c r="AW322" s="112">
        <v>0.11799999999999999</v>
      </c>
      <c r="AX322" s="112">
        <v>0.11890000000000001</v>
      </c>
      <c r="AY322" s="112">
        <v>0.1197</v>
      </c>
      <c r="AZ322" s="112">
        <v>0.1205</v>
      </c>
      <c r="BA322" s="112">
        <v>0.1212</v>
      </c>
    </row>
    <row r="323" spans="2:53" hidden="1" x14ac:dyDescent="0.2">
      <c r="B323" s="112"/>
      <c r="C323" s="112"/>
      <c r="D323" s="112">
        <v>11</v>
      </c>
      <c r="F323" s="112"/>
      <c r="G323" s="112"/>
      <c r="H323" s="112"/>
      <c r="I323" s="112"/>
      <c r="J323" s="112"/>
      <c r="K323" s="112"/>
      <c r="L323" s="112"/>
      <c r="M323" s="112"/>
      <c r="N323" s="112"/>
      <c r="O323" s="112"/>
      <c r="P323" s="112"/>
      <c r="Q323" s="112"/>
      <c r="R323" s="112"/>
      <c r="S323" s="209"/>
      <c r="T323" s="209"/>
      <c r="U323" s="112"/>
      <c r="V323" s="112"/>
      <c r="W323" s="112"/>
      <c r="X323" s="112">
        <v>0</v>
      </c>
      <c r="Y323" s="112">
        <v>1.2200000000000001E-2</v>
      </c>
      <c r="Z323" s="112">
        <v>2.2800000000000001E-2</v>
      </c>
      <c r="AA323" s="112">
        <v>3.2099999999999997E-2</v>
      </c>
      <c r="AB323" s="112">
        <v>4.0300000000000002E-2</v>
      </c>
      <c r="AC323" s="322">
        <v>4.7600000000000003E-2</v>
      </c>
      <c r="AD323" s="112">
        <v>5.3999999999999999E-2</v>
      </c>
      <c r="AE323" s="112">
        <v>5.9799999999999999E-2</v>
      </c>
      <c r="AF323" s="112">
        <v>6.5000000000000002E-2</v>
      </c>
      <c r="AG323" s="112">
        <v>6.9699999999999998E-2</v>
      </c>
      <c r="AH323" s="112">
        <v>7.3899999999999993E-2</v>
      </c>
      <c r="AI323" s="322">
        <v>7.7700000000000005E-2</v>
      </c>
      <c r="AJ323" s="112">
        <v>8.1199999999999994E-2</v>
      </c>
      <c r="AK323" s="112">
        <v>8.4400000000000003E-2</v>
      </c>
      <c r="AL323" s="112">
        <v>8.7300000000000003E-2</v>
      </c>
      <c r="AM323" s="112">
        <v>0.09</v>
      </c>
      <c r="AN323" s="112">
        <v>9.2399999999999996E-2</v>
      </c>
      <c r="AO323" s="112">
        <v>9.4700000000000006E-2</v>
      </c>
      <c r="AP323" s="112">
        <v>9.6699999999999994E-2</v>
      </c>
      <c r="AQ323" s="192">
        <v>9.8599999999999993E-2</v>
      </c>
      <c r="AR323" s="112">
        <v>0.1004</v>
      </c>
      <c r="AS323" s="112">
        <v>0.10199999999999999</v>
      </c>
      <c r="AT323" s="112">
        <v>0.10349999999999999</v>
      </c>
      <c r="AU323" s="112">
        <v>0.10489999999999999</v>
      </c>
      <c r="AV323" s="112">
        <v>0.1062</v>
      </c>
      <c r="AW323" s="112">
        <v>0.10730000000000001</v>
      </c>
      <c r="AX323" s="112">
        <v>0.1085</v>
      </c>
      <c r="AY323" s="112">
        <v>0.1095</v>
      </c>
      <c r="AZ323" s="112">
        <v>0.1105</v>
      </c>
      <c r="BA323" s="112">
        <v>0.1113</v>
      </c>
    </row>
    <row r="324" spans="2:53" hidden="1" x14ac:dyDescent="0.2">
      <c r="B324" s="112"/>
      <c r="C324" s="112"/>
      <c r="D324" s="112">
        <v>12</v>
      </c>
      <c r="F324" s="112"/>
      <c r="G324" s="112"/>
      <c r="H324" s="112"/>
      <c r="I324" s="112"/>
      <c r="J324" s="112"/>
      <c r="K324" s="112"/>
      <c r="L324" s="112"/>
      <c r="M324" s="112"/>
      <c r="N324" s="112"/>
      <c r="O324" s="112"/>
      <c r="P324" s="112"/>
      <c r="Q324" s="112"/>
      <c r="R324" s="112"/>
      <c r="S324" s="209"/>
      <c r="T324" s="209"/>
      <c r="U324" s="112"/>
      <c r="V324" s="112"/>
      <c r="W324" s="112"/>
      <c r="X324" s="112"/>
      <c r="Y324" s="112"/>
      <c r="Z324" s="112">
        <v>0</v>
      </c>
      <c r="AA324" s="112">
        <v>1.0699999999999999E-2</v>
      </c>
      <c r="AB324" s="112">
        <v>0.02</v>
      </c>
      <c r="AC324" s="322">
        <v>2.8400000000000002E-2</v>
      </c>
      <c r="AD324" s="112">
        <v>3.5799999999999998E-2</v>
      </c>
      <c r="AE324" s="112">
        <v>4.24E-2</v>
      </c>
      <c r="AF324" s="112">
        <v>4.8300000000000003E-2</v>
      </c>
      <c r="AG324" s="112">
        <v>5.3699999999999998E-2</v>
      </c>
      <c r="AH324" s="112">
        <v>5.8500000000000003E-2</v>
      </c>
      <c r="AI324" s="322">
        <v>6.2899999999999998E-2</v>
      </c>
      <c r="AJ324" s="112">
        <v>6.6900000000000001E-2</v>
      </c>
      <c r="AK324" s="112">
        <v>7.0599999999999996E-2</v>
      </c>
      <c r="AL324" s="112">
        <v>7.3899999999999993E-2</v>
      </c>
      <c r="AM324" s="112">
        <v>7.6999999999999999E-2</v>
      </c>
      <c r="AN324" s="112">
        <v>7.9799999999999996E-2</v>
      </c>
      <c r="AO324" s="112">
        <v>8.2400000000000001E-2</v>
      </c>
      <c r="AP324" s="112">
        <v>8.48E-2</v>
      </c>
      <c r="AQ324" s="192">
        <v>8.6999999999999994E-2</v>
      </c>
      <c r="AR324" s="112">
        <v>8.9099999999999999E-2</v>
      </c>
      <c r="AS324" s="112">
        <v>9.0899999999999995E-2</v>
      </c>
      <c r="AT324" s="112">
        <v>9.2700000000000005E-2</v>
      </c>
      <c r="AU324" s="112">
        <v>9.4299999999999995E-2</v>
      </c>
      <c r="AV324" s="112">
        <v>9.5899999999999999E-2</v>
      </c>
      <c r="AW324" s="112">
        <v>9.7199999999999995E-2</v>
      </c>
      <c r="AX324" s="112">
        <v>9.8599999999999993E-2</v>
      </c>
      <c r="AY324" s="112">
        <v>9.98E-2</v>
      </c>
      <c r="AZ324" s="112">
        <v>0.10100000000000001</v>
      </c>
      <c r="BA324" s="112">
        <v>0.10199999999999999</v>
      </c>
    </row>
    <row r="325" spans="2:53" hidden="1" x14ac:dyDescent="0.2">
      <c r="B325" s="112"/>
      <c r="C325" s="112"/>
      <c r="D325" s="112">
        <v>13</v>
      </c>
      <c r="F325" s="112"/>
      <c r="G325" s="112"/>
      <c r="H325" s="112"/>
      <c r="I325" s="112"/>
      <c r="J325" s="112"/>
      <c r="K325" s="112"/>
      <c r="L325" s="112"/>
      <c r="M325" s="112"/>
      <c r="N325" s="112"/>
      <c r="O325" s="112"/>
      <c r="P325" s="112"/>
      <c r="Q325" s="112"/>
      <c r="R325" s="112"/>
      <c r="S325" s="209"/>
      <c r="T325" s="209"/>
      <c r="U325" s="112"/>
      <c r="V325" s="112"/>
      <c r="W325" s="112"/>
      <c r="X325" s="112"/>
      <c r="Y325" s="112"/>
      <c r="Z325" s="112"/>
      <c r="AA325" s="112"/>
      <c r="AB325" s="112">
        <v>0</v>
      </c>
      <c r="AC325" s="322">
        <v>9.4000000000000004E-3</v>
      </c>
      <c r="AD325" s="112">
        <v>1.78E-2</v>
      </c>
      <c r="AE325" s="112">
        <v>2.53E-2</v>
      </c>
      <c r="AF325" s="112">
        <v>3.2000000000000001E-2</v>
      </c>
      <c r="AG325" s="112">
        <v>3.8100000000000002E-2</v>
      </c>
      <c r="AH325" s="112">
        <v>4.3499999999999997E-2</v>
      </c>
      <c r="AI325" s="322">
        <v>4.8500000000000001E-2</v>
      </c>
      <c r="AJ325" s="112">
        <v>5.2999999999999999E-2</v>
      </c>
      <c r="AK325" s="112">
        <v>5.7200000000000001E-2</v>
      </c>
      <c r="AL325" s="112">
        <v>6.0999999999999999E-2</v>
      </c>
      <c r="AM325" s="112">
        <v>6.4500000000000002E-2</v>
      </c>
      <c r="AN325" s="112">
        <v>6.7699999999999996E-2</v>
      </c>
      <c r="AO325" s="112">
        <v>7.0599999999999996E-2</v>
      </c>
      <c r="AP325" s="112">
        <v>7.3300000000000004E-2</v>
      </c>
      <c r="AQ325" s="192">
        <v>7.5899999999999995E-2</v>
      </c>
      <c r="AR325" s="112">
        <v>7.8200000000000006E-2</v>
      </c>
      <c r="AS325" s="112">
        <v>8.0399999999999999E-2</v>
      </c>
      <c r="AT325" s="112">
        <v>8.2400000000000001E-2</v>
      </c>
      <c r="AU325" s="112">
        <v>8.4199999999999997E-2</v>
      </c>
      <c r="AV325" s="112">
        <v>8.5999999999999993E-2</v>
      </c>
      <c r="AW325" s="112">
        <v>8.7599999999999997E-2</v>
      </c>
      <c r="AX325" s="112">
        <v>8.9200000000000002E-2</v>
      </c>
      <c r="AY325" s="112">
        <v>9.06E-2</v>
      </c>
      <c r="AZ325" s="112">
        <v>9.1899999999999996E-2</v>
      </c>
      <c r="BA325" s="112">
        <v>9.3200000000000005E-2</v>
      </c>
    </row>
    <row r="326" spans="2:53" hidden="1" x14ac:dyDescent="0.2">
      <c r="B326" s="112"/>
      <c r="C326" s="112"/>
      <c r="D326" s="112">
        <v>14</v>
      </c>
      <c r="F326" s="112"/>
      <c r="G326" s="112"/>
      <c r="H326" s="112"/>
      <c r="I326" s="112"/>
      <c r="J326" s="112"/>
      <c r="K326" s="112"/>
      <c r="L326" s="112"/>
      <c r="M326" s="112"/>
      <c r="N326" s="112"/>
      <c r="O326" s="112"/>
      <c r="P326" s="112"/>
      <c r="Q326" s="112"/>
      <c r="R326" s="112"/>
      <c r="S326" s="209"/>
      <c r="T326" s="209"/>
      <c r="U326" s="112"/>
      <c r="V326" s="112"/>
      <c r="W326" s="112"/>
      <c r="X326" s="112"/>
      <c r="Y326" s="112"/>
      <c r="Z326" s="112"/>
      <c r="AA326" s="112"/>
      <c r="AB326" s="112"/>
      <c r="AD326" s="112">
        <v>0</v>
      </c>
      <c r="AE326" s="112">
        <v>8.3999999999999995E-3</v>
      </c>
      <c r="AF326" s="112">
        <v>1.5900000000000001E-2</v>
      </c>
      <c r="AG326" s="112">
        <v>2.2700000000000001E-2</v>
      </c>
      <c r="AH326" s="112">
        <v>2.8899999999999999E-2</v>
      </c>
      <c r="AI326" s="322">
        <v>3.44E-2</v>
      </c>
      <c r="AJ326" s="112">
        <v>3.95E-2</v>
      </c>
      <c r="AK326" s="112">
        <v>4.41E-2</v>
      </c>
      <c r="AL326" s="112">
        <v>4.8399999999999999E-2</v>
      </c>
      <c r="AM326" s="112">
        <v>5.2299999999999999E-2</v>
      </c>
      <c r="AN326" s="112">
        <v>5.5899999999999998E-2</v>
      </c>
      <c r="AO326" s="112">
        <v>5.9200000000000003E-2</v>
      </c>
      <c r="AP326" s="112">
        <v>6.2199999999999998E-2</v>
      </c>
      <c r="AQ326" s="192">
        <v>6.5100000000000005E-2</v>
      </c>
      <c r="AR326" s="112">
        <v>6.7699999999999996E-2</v>
      </c>
      <c r="AS326" s="112">
        <v>7.0099999999999996E-2</v>
      </c>
      <c r="AT326" s="112">
        <v>7.2400000000000006E-2</v>
      </c>
      <c r="AU326" s="112">
        <v>7.4499999999999997E-2</v>
      </c>
      <c r="AV326" s="112">
        <v>7.6499999999999999E-2</v>
      </c>
      <c r="AW326" s="112">
        <v>7.8299999999999995E-2</v>
      </c>
      <c r="AX326" s="112">
        <v>8.0100000000000005E-2</v>
      </c>
      <c r="AY326" s="112">
        <v>8.1699999999999995E-2</v>
      </c>
      <c r="AZ326" s="112">
        <v>8.3199999999999996E-2</v>
      </c>
      <c r="BA326" s="112">
        <v>8.4599999999999995E-2</v>
      </c>
    </row>
    <row r="327" spans="2:53" hidden="1" x14ac:dyDescent="0.2">
      <c r="B327" s="112"/>
      <c r="C327" s="112"/>
      <c r="D327" s="112">
        <v>15</v>
      </c>
      <c r="F327" s="112"/>
      <c r="G327" s="112"/>
      <c r="H327" s="112"/>
      <c r="I327" s="112"/>
      <c r="J327" s="112"/>
      <c r="K327" s="112"/>
      <c r="L327" s="112"/>
      <c r="M327" s="112"/>
      <c r="N327" s="112"/>
      <c r="O327" s="112"/>
      <c r="P327" s="112"/>
      <c r="Q327" s="112"/>
      <c r="R327" s="112"/>
      <c r="S327" s="209"/>
      <c r="T327" s="209"/>
      <c r="U327" s="112"/>
      <c r="V327" s="112"/>
      <c r="W327" s="112"/>
      <c r="X327" s="112"/>
      <c r="Y327" s="112"/>
      <c r="Z327" s="112"/>
      <c r="AA327" s="112"/>
      <c r="AB327" s="112"/>
      <c r="AF327" s="112">
        <v>0</v>
      </c>
      <c r="AG327" s="112">
        <v>7.6E-3</v>
      </c>
      <c r="AH327" s="112">
        <v>1.44E-2</v>
      </c>
      <c r="AI327" s="322">
        <v>2.06E-2</v>
      </c>
      <c r="AJ327" s="112">
        <v>2.6200000000000001E-2</v>
      </c>
      <c r="AK327" s="112">
        <v>3.1399999999999997E-2</v>
      </c>
      <c r="AL327" s="112">
        <v>3.61E-2</v>
      </c>
      <c r="AM327" s="112">
        <v>4.0399999999999998E-2</v>
      </c>
      <c r="AN327" s="112">
        <v>4.4400000000000002E-2</v>
      </c>
      <c r="AO327" s="112">
        <v>4.8099999999999997E-2</v>
      </c>
      <c r="AP327" s="112">
        <v>5.1499999999999997E-2</v>
      </c>
      <c r="AQ327" s="192">
        <v>5.4600000000000003E-2</v>
      </c>
      <c r="AR327" s="112">
        <v>5.7500000000000002E-2</v>
      </c>
      <c r="AS327" s="112">
        <v>6.0199999999999997E-2</v>
      </c>
      <c r="AT327" s="112">
        <v>6.2799999999999995E-2</v>
      </c>
      <c r="AU327" s="112">
        <v>6.5100000000000005E-2</v>
      </c>
      <c r="AV327" s="112">
        <v>6.7299999999999999E-2</v>
      </c>
      <c r="AW327" s="112">
        <v>6.9400000000000003E-2</v>
      </c>
      <c r="AX327" s="112">
        <v>7.1300000000000002E-2</v>
      </c>
      <c r="AY327" s="112">
        <v>7.3099999999999998E-2</v>
      </c>
      <c r="AZ327" s="112">
        <v>7.4800000000000005E-2</v>
      </c>
      <c r="BA327" s="112">
        <v>7.6399999999999996E-2</v>
      </c>
    </row>
    <row r="328" spans="2:53" hidden="1" x14ac:dyDescent="0.2">
      <c r="B328" s="112"/>
      <c r="C328" s="112"/>
      <c r="D328" s="112">
        <v>16</v>
      </c>
      <c r="F328" s="112"/>
      <c r="G328" s="112"/>
      <c r="H328" s="112"/>
      <c r="I328" s="112"/>
      <c r="J328" s="112"/>
      <c r="K328" s="112"/>
      <c r="L328" s="112"/>
      <c r="M328" s="112"/>
      <c r="N328" s="112"/>
      <c r="O328" s="112"/>
      <c r="P328" s="112"/>
      <c r="Q328" s="112"/>
      <c r="R328" s="112"/>
      <c r="S328" s="209"/>
      <c r="T328" s="209"/>
      <c r="U328" s="112"/>
      <c r="V328" s="112"/>
      <c r="W328" s="112"/>
      <c r="X328" s="112"/>
      <c r="Y328" s="112"/>
      <c r="Z328" s="112"/>
      <c r="AA328" s="112"/>
      <c r="AB328" s="112"/>
      <c r="AH328" s="112">
        <v>0</v>
      </c>
      <c r="AI328" s="322">
        <v>6.7999999999999996E-3</v>
      </c>
      <c r="AJ328" s="112">
        <v>1.3100000000000001E-2</v>
      </c>
      <c r="AK328" s="112">
        <v>1.8700000000000001E-2</v>
      </c>
      <c r="AL328" s="112">
        <v>2.3900000000000001E-2</v>
      </c>
      <c r="AM328" s="112">
        <v>2.87E-2</v>
      </c>
      <c r="AN328" s="112">
        <v>3.3099999999999997E-2</v>
      </c>
      <c r="AO328" s="112">
        <v>3.7199999999999997E-2</v>
      </c>
      <c r="AP328" s="112">
        <v>4.0899999999999999E-2</v>
      </c>
      <c r="AQ328" s="192">
        <v>4.4400000000000002E-2</v>
      </c>
      <c r="AR328" s="112">
        <v>4.7600000000000003E-2</v>
      </c>
      <c r="AS328" s="112">
        <v>5.0599999999999999E-2</v>
      </c>
      <c r="AT328" s="112">
        <v>5.3400000000000003E-2</v>
      </c>
      <c r="AU328" s="112">
        <v>5.6000000000000001E-2</v>
      </c>
      <c r="AV328" s="112">
        <v>5.8400000000000001E-2</v>
      </c>
      <c r="AW328" s="112">
        <v>6.0699999999999997E-2</v>
      </c>
      <c r="AX328" s="112">
        <v>6.2799999999999995E-2</v>
      </c>
      <c r="AY328" s="112">
        <v>6.4799999999999996E-2</v>
      </c>
      <c r="AZ328" s="112">
        <v>6.6699999999999995E-2</v>
      </c>
      <c r="BA328" s="112">
        <v>6.8500000000000005E-2</v>
      </c>
    </row>
    <row r="329" spans="2:53" hidden="1" x14ac:dyDescent="0.2">
      <c r="B329" s="112"/>
      <c r="C329" s="112"/>
      <c r="D329" s="112">
        <v>17</v>
      </c>
      <c r="F329" s="112"/>
      <c r="G329" s="112"/>
      <c r="H329" s="112"/>
      <c r="I329" s="112"/>
      <c r="J329" s="112"/>
      <c r="K329" s="112"/>
      <c r="L329" s="112"/>
      <c r="M329" s="112"/>
      <c r="N329" s="112"/>
      <c r="O329" s="112"/>
      <c r="P329" s="112"/>
      <c r="Q329" s="112"/>
      <c r="R329" s="112"/>
      <c r="S329" s="209"/>
      <c r="T329" s="209"/>
      <c r="U329" s="112"/>
      <c r="V329" s="112"/>
      <c r="W329" s="112"/>
      <c r="X329" s="112"/>
      <c r="Y329" s="112"/>
      <c r="Z329" s="112"/>
      <c r="AA329" s="112"/>
      <c r="AB329" s="112"/>
      <c r="AJ329" s="112">
        <v>0</v>
      </c>
      <c r="AK329" s="112">
        <v>6.1999999999999998E-3</v>
      </c>
      <c r="AL329" s="112">
        <v>1.1900000000000001E-2</v>
      </c>
      <c r="AM329" s="112">
        <v>1.72E-2</v>
      </c>
      <c r="AN329" s="112">
        <v>2.1999999999999999E-2</v>
      </c>
      <c r="AO329" s="112">
        <v>2.64E-2</v>
      </c>
      <c r="AP329" s="112">
        <v>3.0499999999999999E-2</v>
      </c>
      <c r="AQ329" s="192">
        <v>3.4299999999999997E-2</v>
      </c>
      <c r="AR329" s="112">
        <v>3.7900000000000003E-2</v>
      </c>
      <c r="AS329" s="112">
        <v>4.1099999999999998E-2</v>
      </c>
      <c r="AT329" s="112">
        <v>4.4200000000000003E-2</v>
      </c>
      <c r="AU329" s="112">
        <v>4.7100000000000003E-2</v>
      </c>
      <c r="AV329" s="112">
        <v>4.9700000000000001E-2</v>
      </c>
      <c r="AW329" s="112">
        <v>5.2200000000000003E-2</v>
      </c>
      <c r="AX329" s="112">
        <v>5.4600000000000003E-2</v>
      </c>
      <c r="AY329" s="112">
        <v>5.6800000000000003E-2</v>
      </c>
      <c r="AZ329" s="112">
        <v>5.8799999999999998E-2</v>
      </c>
      <c r="BA329" s="112">
        <v>6.08E-2</v>
      </c>
    </row>
    <row r="330" spans="2:53" hidden="1" x14ac:dyDescent="0.2">
      <c r="B330" s="112"/>
      <c r="C330" s="112"/>
      <c r="D330" s="112">
        <v>18</v>
      </c>
      <c r="F330" s="112"/>
      <c r="G330" s="112"/>
      <c r="H330" s="112"/>
      <c r="I330" s="112"/>
      <c r="J330" s="112"/>
      <c r="K330" s="112"/>
      <c r="L330" s="112"/>
      <c r="M330" s="112"/>
      <c r="N330" s="112"/>
      <c r="O330" s="112"/>
      <c r="P330" s="112"/>
      <c r="Q330" s="112"/>
      <c r="R330" s="112"/>
      <c r="S330" s="209"/>
      <c r="T330" s="209"/>
      <c r="U330" s="112"/>
      <c r="V330" s="112"/>
      <c r="W330" s="112"/>
      <c r="X330" s="112"/>
      <c r="Y330" s="112"/>
      <c r="Z330" s="112"/>
      <c r="AA330" s="112"/>
      <c r="AB330" s="112"/>
      <c r="AL330" s="112">
        <v>0</v>
      </c>
      <c r="AM330" s="112">
        <v>5.7000000000000002E-3</v>
      </c>
      <c r="AN330" s="112">
        <v>1.0999999999999999E-2</v>
      </c>
      <c r="AO330" s="112">
        <v>1.5800000000000002E-2</v>
      </c>
      <c r="AP330" s="112">
        <v>2.0299999999999999E-2</v>
      </c>
      <c r="AQ330" s="192">
        <v>2.4400000000000002E-2</v>
      </c>
      <c r="AR330" s="112">
        <v>2.8299999999999999E-2</v>
      </c>
      <c r="AS330" s="112">
        <v>3.1800000000000002E-2</v>
      </c>
      <c r="AT330" s="112">
        <v>3.5200000000000002E-2</v>
      </c>
      <c r="AU330" s="112">
        <v>3.8300000000000001E-2</v>
      </c>
      <c r="AV330" s="112">
        <v>4.1200000000000001E-2</v>
      </c>
      <c r="AW330" s="112">
        <v>4.3900000000000002E-2</v>
      </c>
      <c r="AX330" s="112">
        <v>4.65E-2</v>
      </c>
      <c r="AY330" s="112">
        <v>4.8899999999999999E-2</v>
      </c>
      <c r="AZ330" s="112">
        <v>5.11E-2</v>
      </c>
      <c r="BA330" s="112">
        <v>5.3199999999999997E-2</v>
      </c>
    </row>
    <row r="331" spans="2:53" hidden="1" x14ac:dyDescent="0.2">
      <c r="B331" s="112"/>
      <c r="C331" s="112"/>
      <c r="D331" s="112">
        <v>19</v>
      </c>
      <c r="F331" s="112"/>
      <c r="G331" s="112"/>
      <c r="H331" s="112"/>
      <c r="I331" s="112"/>
      <c r="J331" s="112"/>
      <c r="K331" s="112"/>
      <c r="L331" s="112"/>
      <c r="M331" s="112"/>
      <c r="N331" s="112"/>
      <c r="O331" s="112"/>
      <c r="P331" s="112"/>
      <c r="Q331" s="112"/>
      <c r="R331" s="112"/>
      <c r="S331" s="209"/>
      <c r="T331" s="209"/>
      <c r="U331" s="112"/>
      <c r="V331" s="112"/>
      <c r="W331" s="112"/>
      <c r="X331" s="112"/>
      <c r="Y331" s="112"/>
      <c r="Z331" s="112"/>
      <c r="AA331" s="112"/>
      <c r="AB331" s="112"/>
      <c r="AN331" s="112">
        <v>0</v>
      </c>
      <c r="AO331" s="112">
        <v>5.3E-3</v>
      </c>
      <c r="AP331" s="112">
        <v>1.01E-2</v>
      </c>
      <c r="AQ331" s="192">
        <v>1.46E-2</v>
      </c>
      <c r="AR331" s="112">
        <v>1.8800000000000001E-2</v>
      </c>
      <c r="AS331" s="112">
        <v>2.2700000000000001E-2</v>
      </c>
      <c r="AT331" s="112">
        <v>2.63E-2</v>
      </c>
      <c r="AU331" s="112">
        <v>2.9600000000000001E-2</v>
      </c>
      <c r="AV331" s="112">
        <v>3.2800000000000003E-2</v>
      </c>
      <c r="AW331" s="112">
        <v>3.5700000000000003E-2</v>
      </c>
      <c r="AX331" s="112">
        <v>3.85E-2</v>
      </c>
      <c r="AY331" s="112">
        <v>4.1099999999999998E-2</v>
      </c>
      <c r="AZ331" s="112">
        <v>4.36E-2</v>
      </c>
      <c r="BA331" s="112">
        <v>4.5900000000000003E-2</v>
      </c>
    </row>
    <row r="332" spans="2:53" hidden="1" x14ac:dyDescent="0.2">
      <c r="B332" s="112"/>
      <c r="C332" s="112"/>
      <c r="D332" s="112">
        <v>20</v>
      </c>
      <c r="F332" s="112"/>
      <c r="G332" s="112"/>
      <c r="H332" s="112"/>
      <c r="I332" s="112"/>
      <c r="J332" s="112"/>
      <c r="K332" s="112"/>
      <c r="L332" s="112"/>
      <c r="M332" s="112"/>
      <c r="N332" s="112"/>
      <c r="O332" s="112"/>
      <c r="P332" s="112"/>
      <c r="Q332" s="112"/>
      <c r="R332" s="112"/>
      <c r="S332" s="209"/>
      <c r="T332" s="209"/>
      <c r="U332" s="112"/>
      <c r="V332" s="112"/>
      <c r="W332" s="112"/>
      <c r="X332" s="112"/>
      <c r="Y332" s="112"/>
      <c r="Z332" s="112"/>
      <c r="AA332" s="112"/>
      <c r="AB332" s="112"/>
      <c r="AP332" s="112">
        <v>0</v>
      </c>
      <c r="AQ332" s="192">
        <v>4.8999999999999998E-3</v>
      </c>
      <c r="AR332" s="112">
        <v>9.4000000000000004E-3</v>
      </c>
      <c r="AS332" s="112">
        <v>1.3599999999999999E-2</v>
      </c>
      <c r="AT332" s="112">
        <v>1.7500000000000002E-2</v>
      </c>
      <c r="AU332" s="112">
        <v>2.1100000000000001E-2</v>
      </c>
      <c r="AV332" s="112">
        <v>2.4500000000000001E-2</v>
      </c>
      <c r="AW332" s="112">
        <v>2.7699999999999999E-2</v>
      </c>
      <c r="AX332" s="112">
        <v>3.0700000000000002E-2</v>
      </c>
      <c r="AY332" s="112">
        <v>3.3500000000000002E-2</v>
      </c>
      <c r="AZ332" s="112">
        <v>3.61E-2</v>
      </c>
      <c r="BA332" s="112">
        <v>3.8600000000000002E-2</v>
      </c>
    </row>
    <row r="333" spans="2:53" hidden="1" x14ac:dyDescent="0.2">
      <c r="B333" s="112"/>
      <c r="C333" s="112"/>
      <c r="D333" s="112">
        <v>21</v>
      </c>
      <c r="F333" s="112"/>
      <c r="G333" s="112"/>
      <c r="H333" s="112"/>
      <c r="I333" s="112"/>
      <c r="J333" s="112"/>
      <c r="K333" s="112"/>
      <c r="L333" s="112"/>
      <c r="M333" s="112"/>
      <c r="N333" s="112"/>
      <c r="O333" s="112"/>
      <c r="P333" s="112"/>
      <c r="Q333" s="112"/>
      <c r="R333" s="112"/>
      <c r="S333" s="209"/>
      <c r="T333" s="209"/>
      <c r="U333" s="112"/>
      <c r="V333" s="112"/>
      <c r="W333" s="112"/>
      <c r="X333" s="112"/>
      <c r="Y333" s="112"/>
      <c r="Z333" s="112"/>
      <c r="AA333" s="112"/>
      <c r="AB333" s="112"/>
      <c r="AP333" s="112"/>
      <c r="AQ333" s="192"/>
      <c r="AR333" s="112">
        <v>0</v>
      </c>
      <c r="AS333" s="112">
        <v>4.4999999999999997E-3</v>
      </c>
      <c r="AT333" s="112">
        <v>8.6999999999999994E-3</v>
      </c>
      <c r="AU333" s="112">
        <v>1.26E-2</v>
      </c>
      <c r="AV333" s="112">
        <v>1.6299999999999999E-2</v>
      </c>
      <c r="AW333" s="112">
        <v>1.9699999999999999E-2</v>
      </c>
      <c r="AX333" s="112">
        <v>2.29E-2</v>
      </c>
      <c r="AY333" s="112">
        <v>2.5899999999999999E-2</v>
      </c>
      <c r="AZ333" s="112">
        <v>2.8799999999999999E-2</v>
      </c>
      <c r="BA333" s="112">
        <v>3.1399999999999997E-2</v>
      </c>
    </row>
    <row r="334" spans="2:53" hidden="1" x14ac:dyDescent="0.2">
      <c r="B334" s="112"/>
      <c r="C334" s="112"/>
      <c r="D334" s="112">
        <v>22</v>
      </c>
      <c r="F334" s="112"/>
      <c r="G334" s="112"/>
      <c r="H334" s="112"/>
      <c r="I334" s="112"/>
      <c r="J334" s="112"/>
      <c r="K334" s="112"/>
      <c r="L334" s="112"/>
      <c r="M334" s="112"/>
      <c r="N334" s="112"/>
      <c r="O334" s="112"/>
      <c r="P334" s="112"/>
      <c r="Q334" s="112"/>
      <c r="R334" s="112"/>
      <c r="S334" s="209"/>
      <c r="T334" s="209"/>
      <c r="U334" s="112"/>
      <c r="V334" s="112"/>
      <c r="W334" s="112"/>
      <c r="X334" s="112"/>
      <c r="Y334" s="112"/>
      <c r="Z334" s="112"/>
      <c r="AA334" s="112"/>
      <c r="AB334" s="112"/>
      <c r="AP334" s="112"/>
      <c r="AQ334" s="192"/>
      <c r="AR334" s="112"/>
      <c r="AS334" s="112"/>
      <c r="AT334" s="112">
        <v>0</v>
      </c>
      <c r="AU334" s="112">
        <v>4.1999999999999997E-3</v>
      </c>
      <c r="AV334" s="112">
        <v>8.0999999999999996E-3</v>
      </c>
      <c r="AW334" s="112">
        <v>1.18E-2</v>
      </c>
      <c r="AX334" s="112">
        <v>1.5299999999999999E-2</v>
      </c>
      <c r="AY334" s="112">
        <v>1.8499999999999999E-2</v>
      </c>
      <c r="AZ334" s="112">
        <v>2.1499999999999998E-2</v>
      </c>
      <c r="BA334" s="112">
        <v>2.4400000000000002E-2</v>
      </c>
    </row>
    <row r="335" spans="2:53" hidden="1" x14ac:dyDescent="0.2">
      <c r="B335" s="112"/>
      <c r="C335" s="112"/>
      <c r="D335" s="112">
        <v>23</v>
      </c>
      <c r="F335" s="112"/>
      <c r="G335" s="112"/>
      <c r="H335" s="112"/>
      <c r="I335" s="112"/>
      <c r="J335" s="112"/>
      <c r="K335" s="112"/>
      <c r="L335" s="112"/>
      <c r="M335" s="112"/>
      <c r="N335" s="112"/>
      <c r="O335" s="112"/>
      <c r="P335" s="112"/>
      <c r="Q335" s="112"/>
      <c r="R335" s="112"/>
      <c r="S335" s="209"/>
      <c r="T335" s="209"/>
      <c r="U335" s="112"/>
      <c r="V335" s="112"/>
      <c r="W335" s="112"/>
      <c r="X335" s="112"/>
      <c r="Y335" s="112"/>
      <c r="Z335" s="112"/>
      <c r="AA335" s="112"/>
      <c r="AB335" s="112"/>
      <c r="AP335" s="112"/>
      <c r="AQ335" s="192"/>
      <c r="AR335" s="112"/>
      <c r="AS335" s="112"/>
      <c r="AT335" s="112"/>
      <c r="AU335" s="112"/>
      <c r="AV335" s="112">
        <v>0</v>
      </c>
      <c r="AW335" s="112">
        <v>3.8999999999999998E-3</v>
      </c>
      <c r="AX335" s="112">
        <v>7.6E-3</v>
      </c>
      <c r="AY335" s="112">
        <v>1.11E-2</v>
      </c>
      <c r="AZ335" s="112">
        <v>1.43E-2</v>
      </c>
      <c r="BA335" s="112">
        <v>1.7399999999999999E-2</v>
      </c>
    </row>
    <row r="336" spans="2:53" hidden="1" x14ac:dyDescent="0.2">
      <c r="B336" s="112"/>
      <c r="C336" s="112"/>
      <c r="D336" s="112">
        <v>24</v>
      </c>
      <c r="F336" s="112"/>
      <c r="G336" s="112"/>
      <c r="H336" s="112"/>
      <c r="I336" s="112"/>
      <c r="J336" s="112"/>
      <c r="K336" s="112"/>
      <c r="L336" s="112"/>
      <c r="M336" s="112"/>
      <c r="N336" s="112"/>
      <c r="O336" s="112"/>
      <c r="P336" s="112"/>
      <c r="Q336" s="112"/>
      <c r="R336" s="112"/>
      <c r="S336" s="209"/>
      <c r="T336" s="209"/>
      <c r="U336" s="112"/>
      <c r="V336" s="112"/>
      <c r="W336" s="112"/>
      <c r="X336" s="112"/>
      <c r="Y336" s="112"/>
      <c r="Z336" s="112"/>
      <c r="AA336" s="112"/>
      <c r="AB336" s="112"/>
      <c r="AP336" s="112"/>
      <c r="AQ336" s="192"/>
      <c r="AR336" s="112"/>
      <c r="AS336" s="112"/>
      <c r="AT336" s="112"/>
      <c r="AU336" s="112"/>
      <c r="AV336" s="112"/>
      <c r="AX336" s="112">
        <v>0</v>
      </c>
      <c r="AY336" s="112">
        <v>3.7000000000000002E-3</v>
      </c>
      <c r="AZ336" s="112">
        <v>7.1000000000000004E-3</v>
      </c>
      <c r="BA336" s="112">
        <v>1.04E-2</v>
      </c>
    </row>
    <row r="337" spans="2:53" hidden="1" x14ac:dyDescent="0.2">
      <c r="B337" s="112"/>
      <c r="C337" s="112"/>
      <c r="D337" s="112">
        <v>25</v>
      </c>
      <c r="F337" s="112"/>
      <c r="G337" s="112"/>
      <c r="H337" s="112"/>
      <c r="I337" s="112"/>
      <c r="J337" s="112"/>
      <c r="K337" s="112"/>
      <c r="L337" s="112"/>
      <c r="M337" s="112"/>
      <c r="N337" s="112"/>
      <c r="O337" s="112"/>
      <c r="P337" s="112"/>
      <c r="Q337" s="112"/>
      <c r="R337" s="112"/>
      <c r="S337" s="209"/>
      <c r="T337" s="209"/>
      <c r="U337" s="112"/>
      <c r="V337" s="112"/>
      <c r="W337" s="190"/>
      <c r="X337" s="112"/>
      <c r="Y337" s="112"/>
      <c r="Z337" s="112"/>
      <c r="AA337" s="112"/>
      <c r="AB337" s="112"/>
      <c r="AP337" s="112"/>
      <c r="AQ337" s="112"/>
      <c r="AR337" s="112"/>
      <c r="AS337" s="192"/>
      <c r="AT337" s="112"/>
      <c r="AU337" s="112"/>
      <c r="AV337" s="112"/>
      <c r="AZ337" s="112">
        <v>0</v>
      </c>
      <c r="BA337" s="112">
        <v>3.5000000000000001E-3</v>
      </c>
    </row>
    <row r="338" spans="2:53" hidden="1" x14ac:dyDescent="0.2">
      <c r="B338" s="112"/>
      <c r="C338" s="112"/>
      <c r="D338" s="112"/>
      <c r="F338" s="112"/>
      <c r="G338" s="112"/>
      <c r="H338" s="112"/>
      <c r="I338" s="112"/>
      <c r="J338" s="112"/>
      <c r="K338" s="112"/>
      <c r="L338" s="112"/>
      <c r="M338" s="112"/>
      <c r="N338" s="112"/>
      <c r="O338" s="112"/>
      <c r="P338" s="112"/>
      <c r="Q338" s="112"/>
      <c r="R338" s="112"/>
      <c r="S338" s="209"/>
      <c r="T338" s="209"/>
      <c r="U338" s="209"/>
      <c r="V338" s="209"/>
      <c r="W338" s="209"/>
      <c r="X338" s="209"/>
      <c r="Y338" s="112"/>
      <c r="AA338" s="112"/>
      <c r="AB338" s="112"/>
      <c r="AP338" s="112"/>
      <c r="AQ338" s="112"/>
      <c r="AR338" s="112"/>
      <c r="AS338" s="112"/>
      <c r="AT338" s="112"/>
      <c r="AU338" s="112"/>
    </row>
    <row r="339" spans="2:53" hidden="1" x14ac:dyDescent="0.2">
      <c r="B339" s="112"/>
      <c r="C339" s="112"/>
      <c r="D339" s="112"/>
      <c r="F339" s="112"/>
      <c r="G339" s="112"/>
      <c r="H339" s="112"/>
      <c r="I339" s="112"/>
      <c r="J339" s="112"/>
      <c r="K339" s="112"/>
      <c r="L339" s="112"/>
      <c r="M339" s="112"/>
      <c r="N339" s="112"/>
      <c r="O339" s="112"/>
      <c r="P339" s="112"/>
      <c r="Q339" s="112"/>
      <c r="R339" s="112"/>
      <c r="S339" s="112"/>
      <c r="T339" s="112"/>
      <c r="U339" s="112"/>
      <c r="V339" s="209"/>
      <c r="W339" s="209"/>
      <c r="X339" s="209"/>
      <c r="Y339" s="112"/>
      <c r="AA339" s="112"/>
      <c r="AB339" s="112"/>
      <c r="AP339" s="112"/>
      <c r="AQ339" s="112"/>
      <c r="AR339" s="112"/>
      <c r="AS339" s="112"/>
      <c r="AT339" s="112"/>
      <c r="AU339" s="112"/>
    </row>
    <row r="340" spans="2:53" hidden="1" x14ac:dyDescent="0.2">
      <c r="B340" s="112"/>
      <c r="C340" s="112"/>
      <c r="D340" s="112" t="s">
        <v>180</v>
      </c>
      <c r="F340" s="112"/>
      <c r="G340" s="112"/>
      <c r="H340" s="112"/>
      <c r="I340" s="112"/>
      <c r="J340" s="112"/>
      <c r="K340" s="112"/>
      <c r="L340" s="112"/>
      <c r="M340" s="112"/>
      <c r="N340" s="112"/>
      <c r="O340" s="112"/>
      <c r="P340" s="112"/>
      <c r="Q340" s="112"/>
      <c r="R340" s="112"/>
      <c r="S340" s="112"/>
      <c r="T340" s="112"/>
      <c r="U340" s="112"/>
      <c r="V340" s="209"/>
      <c r="W340" s="209"/>
      <c r="X340" s="209"/>
      <c r="Y340" s="112"/>
      <c r="AA340" s="112"/>
      <c r="AB340" s="112"/>
      <c r="AP340" s="112"/>
      <c r="AQ340" s="112"/>
      <c r="AR340" s="112"/>
      <c r="AS340" s="112"/>
      <c r="AT340" s="112"/>
      <c r="AU340" s="112"/>
    </row>
    <row r="341" spans="2:53" hidden="1" x14ac:dyDescent="0.2">
      <c r="B341" s="112"/>
      <c r="C341" s="112"/>
      <c r="D341" s="112" t="s">
        <v>44</v>
      </c>
      <c r="E341" s="1" t="s">
        <v>181</v>
      </c>
      <c r="F341" s="112"/>
      <c r="G341" s="112"/>
      <c r="H341" s="112"/>
      <c r="I341" s="112"/>
      <c r="J341" s="112"/>
      <c r="K341" s="112"/>
      <c r="L341" s="112"/>
      <c r="M341" s="112"/>
      <c r="N341" s="112"/>
      <c r="O341" s="112"/>
      <c r="P341" s="112"/>
      <c r="Q341" s="112"/>
      <c r="R341" s="112"/>
      <c r="S341" s="112"/>
      <c r="T341" s="112"/>
      <c r="U341" s="112"/>
      <c r="V341" s="209"/>
      <c r="W341" s="209"/>
      <c r="X341" s="209"/>
      <c r="Y341" s="112"/>
      <c r="AA341" s="112"/>
      <c r="AB341" s="112"/>
      <c r="AP341" s="112"/>
      <c r="AQ341" s="112"/>
      <c r="AR341" s="112"/>
      <c r="AS341" s="112"/>
      <c r="AT341" s="112"/>
      <c r="AU341" s="112"/>
    </row>
    <row r="342" spans="2:53" hidden="1" x14ac:dyDescent="0.2">
      <c r="B342" s="112"/>
      <c r="C342" s="112"/>
      <c r="D342" s="112"/>
      <c r="E342" s="1">
        <v>0.01</v>
      </c>
      <c r="F342" s="112">
        <v>0.02</v>
      </c>
      <c r="G342" s="112">
        <v>0.05</v>
      </c>
      <c r="H342" s="112">
        <v>0.1</v>
      </c>
      <c r="I342" s="112">
        <v>0.5</v>
      </c>
      <c r="J342" s="112"/>
      <c r="K342" s="112"/>
      <c r="L342" s="112"/>
      <c r="M342" s="112"/>
      <c r="N342" s="112"/>
      <c r="O342" s="112"/>
      <c r="P342" s="112"/>
      <c r="Q342" s="112"/>
      <c r="R342" s="112"/>
      <c r="S342" s="112"/>
      <c r="T342" s="112"/>
      <c r="U342" s="112"/>
      <c r="V342" s="209"/>
      <c r="W342" s="209"/>
      <c r="X342" s="209"/>
      <c r="Y342" s="112"/>
      <c r="AA342" s="112"/>
      <c r="AB342" s="112"/>
      <c r="AP342" s="112"/>
      <c r="AQ342" s="112"/>
      <c r="AR342" s="112"/>
      <c r="AS342" s="112"/>
      <c r="AT342" s="112"/>
      <c r="AU342" s="112"/>
    </row>
    <row r="343" spans="2:53" hidden="1" x14ac:dyDescent="0.2">
      <c r="B343" s="112"/>
      <c r="C343" s="112"/>
      <c r="D343" s="112"/>
      <c r="F343" s="112"/>
      <c r="G343" s="112"/>
      <c r="H343" s="112"/>
      <c r="I343" s="112"/>
      <c r="J343" s="112"/>
      <c r="K343" s="112"/>
      <c r="L343" s="112"/>
      <c r="M343" s="112"/>
      <c r="N343" s="112"/>
      <c r="O343" s="112"/>
      <c r="P343" s="112"/>
      <c r="Q343" s="112"/>
      <c r="R343" s="112"/>
      <c r="S343" s="112"/>
      <c r="T343" s="112"/>
      <c r="U343" s="112"/>
      <c r="V343" s="209"/>
      <c r="W343" s="209"/>
      <c r="X343" s="209"/>
      <c r="Y343" s="112"/>
      <c r="AA343" s="112"/>
      <c r="AB343" s="112"/>
      <c r="AP343" s="112"/>
      <c r="AQ343" s="112"/>
      <c r="AR343" s="112"/>
      <c r="AS343" s="112"/>
      <c r="AT343" s="112"/>
      <c r="AU343" s="112"/>
    </row>
    <row r="344" spans="2:53" hidden="1" x14ac:dyDescent="0.2">
      <c r="B344" s="112"/>
      <c r="C344" s="112"/>
      <c r="D344" s="112">
        <v>3</v>
      </c>
      <c r="E344" s="1">
        <v>0.753</v>
      </c>
      <c r="F344" s="112">
        <v>0.75600000000000001</v>
      </c>
      <c r="G344" s="112">
        <v>0.76700000000000002</v>
      </c>
      <c r="H344" s="112">
        <v>0.78900000000000003</v>
      </c>
      <c r="I344" s="112">
        <v>0.95899999999999996</v>
      </c>
      <c r="J344" s="112"/>
      <c r="K344" s="112"/>
      <c r="L344" s="112"/>
      <c r="M344" s="112"/>
      <c r="N344" s="112"/>
      <c r="O344" s="112"/>
      <c r="P344" s="112"/>
      <c r="Q344" s="112"/>
      <c r="R344" s="112"/>
      <c r="S344" s="112"/>
      <c r="T344" s="112"/>
      <c r="U344" s="112"/>
      <c r="V344" s="209"/>
      <c r="W344" s="209"/>
      <c r="X344" s="209"/>
      <c r="Y344" s="112"/>
      <c r="AA344" s="112"/>
      <c r="AB344" s="112"/>
      <c r="AP344" s="112"/>
      <c r="AQ344" s="112"/>
      <c r="AR344" s="112"/>
      <c r="AS344" s="112"/>
      <c r="AT344" s="112"/>
      <c r="AU344" s="112"/>
    </row>
    <row r="345" spans="2:53" hidden="1" x14ac:dyDescent="0.2">
      <c r="B345" s="112"/>
      <c r="C345" s="112"/>
      <c r="D345" s="112">
        <v>4</v>
      </c>
      <c r="E345" s="1">
        <v>0.68700000000000006</v>
      </c>
      <c r="F345" s="112">
        <v>0.70699999999999996</v>
      </c>
      <c r="G345" s="112">
        <v>0.748</v>
      </c>
      <c r="H345" s="112">
        <v>0.79200000000000004</v>
      </c>
      <c r="I345" s="112">
        <v>0.93500000000000005</v>
      </c>
      <c r="J345" s="112"/>
      <c r="K345" s="112"/>
      <c r="L345" s="112"/>
      <c r="M345" s="112"/>
      <c r="N345" s="112"/>
      <c r="O345" s="112"/>
      <c r="P345" s="112"/>
      <c r="Q345" s="112"/>
      <c r="R345" s="112"/>
      <c r="S345" s="112"/>
      <c r="T345" s="112"/>
      <c r="U345" s="112"/>
      <c r="V345" s="209"/>
      <c r="W345" s="209"/>
      <c r="X345" s="209"/>
      <c r="Y345" s="112"/>
      <c r="AA345" s="112"/>
      <c r="AB345" s="112"/>
      <c r="AP345" s="112"/>
      <c r="AQ345" s="112"/>
      <c r="AR345" s="112"/>
      <c r="AS345" s="112"/>
      <c r="AT345" s="112"/>
      <c r="AU345" s="112"/>
    </row>
    <row r="346" spans="2:53" hidden="1" x14ac:dyDescent="0.2">
      <c r="B346" s="112"/>
      <c r="C346" s="112"/>
      <c r="D346" s="112">
        <v>5</v>
      </c>
      <c r="E346" s="1">
        <v>0.68600000000000005</v>
      </c>
      <c r="F346" s="112">
        <v>0.71499999999999997</v>
      </c>
      <c r="G346" s="112">
        <v>0.76200000000000001</v>
      </c>
      <c r="H346" s="112">
        <v>0.80600000000000005</v>
      </c>
      <c r="I346" s="112">
        <v>0.92700000000000005</v>
      </c>
      <c r="J346" s="112"/>
      <c r="K346" s="112"/>
      <c r="L346" s="112"/>
      <c r="M346" s="112"/>
      <c r="N346" s="112"/>
      <c r="O346" s="112"/>
      <c r="P346" s="112"/>
      <c r="Q346" s="112"/>
      <c r="R346" s="112"/>
      <c r="S346" s="112"/>
      <c r="T346" s="112"/>
      <c r="U346" s="112"/>
      <c r="V346" s="209"/>
      <c r="W346" s="209"/>
      <c r="X346" s="209"/>
      <c r="Y346" s="112"/>
      <c r="AA346" s="112"/>
      <c r="AB346" s="112"/>
      <c r="AP346" s="112"/>
      <c r="AQ346" s="112"/>
      <c r="AR346" s="112"/>
      <c r="AS346" s="112"/>
      <c r="AT346" s="112"/>
      <c r="AU346" s="112"/>
    </row>
    <row r="347" spans="2:53" hidden="1" x14ac:dyDescent="0.2">
      <c r="B347" s="112"/>
      <c r="C347" s="112"/>
      <c r="D347" s="112">
        <v>6</v>
      </c>
      <c r="E347" s="1">
        <v>0.71299999999999997</v>
      </c>
      <c r="F347" s="112">
        <v>0.74299999999999999</v>
      </c>
      <c r="G347" s="112">
        <v>0.78800000000000003</v>
      </c>
      <c r="H347" s="112">
        <v>0.82599999999999996</v>
      </c>
      <c r="I347" s="112">
        <v>0.92700000000000005</v>
      </c>
      <c r="J347" s="112"/>
      <c r="K347" s="112"/>
      <c r="L347" s="112"/>
      <c r="M347" s="112"/>
      <c r="N347" s="112"/>
      <c r="O347" s="112"/>
      <c r="P347" s="112"/>
      <c r="Q347" s="112"/>
      <c r="R347" s="112"/>
      <c r="S347" s="112"/>
      <c r="T347" s="112"/>
      <c r="U347" s="112"/>
      <c r="V347" s="209"/>
      <c r="W347" s="209"/>
      <c r="X347" s="209"/>
      <c r="Y347" s="112"/>
      <c r="AA347" s="112"/>
      <c r="AB347" s="112"/>
      <c r="AP347" s="112"/>
      <c r="AQ347" s="112"/>
      <c r="AR347" s="112"/>
      <c r="AS347" s="112"/>
      <c r="AT347" s="112"/>
      <c r="AU347" s="112"/>
    </row>
    <row r="348" spans="2:53" hidden="1" x14ac:dyDescent="0.2">
      <c r="B348" s="112"/>
      <c r="C348" s="112"/>
      <c r="D348" s="112">
        <v>7</v>
      </c>
      <c r="E348" s="1">
        <v>0.73</v>
      </c>
      <c r="F348" s="112">
        <v>0.76</v>
      </c>
      <c r="G348" s="112">
        <v>0.80300000000000005</v>
      </c>
      <c r="H348" s="112">
        <v>0.83799999999999997</v>
      </c>
      <c r="I348" s="112">
        <v>0.92800000000000005</v>
      </c>
      <c r="J348" s="112"/>
      <c r="K348" s="112"/>
      <c r="L348" s="112"/>
      <c r="M348" s="112"/>
      <c r="N348" s="112"/>
      <c r="O348" s="112"/>
      <c r="P348" s="112"/>
      <c r="Q348" s="112"/>
      <c r="R348" s="112"/>
      <c r="S348" s="112"/>
      <c r="T348" s="112"/>
      <c r="U348" s="112"/>
      <c r="V348" s="209"/>
      <c r="W348" s="209"/>
      <c r="X348" s="209"/>
      <c r="Y348" s="112"/>
      <c r="AA348" s="112"/>
      <c r="AB348" s="112"/>
      <c r="AP348" s="112"/>
      <c r="AQ348" s="112"/>
      <c r="AR348" s="112"/>
      <c r="AS348" s="112"/>
      <c r="AT348" s="112"/>
      <c r="AU348" s="112"/>
    </row>
    <row r="349" spans="2:53" hidden="1" x14ac:dyDescent="0.2">
      <c r="B349" s="112"/>
      <c r="C349" s="112"/>
      <c r="D349" s="112">
        <v>8</v>
      </c>
      <c r="E349" s="1">
        <v>0.749</v>
      </c>
      <c r="F349" s="112">
        <v>0.77800000000000002</v>
      </c>
      <c r="G349" s="112">
        <v>0.81799999999999995</v>
      </c>
      <c r="H349" s="112">
        <v>0.85099999999999998</v>
      </c>
      <c r="I349" s="112">
        <v>0.93200000000000005</v>
      </c>
      <c r="J349" s="112"/>
      <c r="K349" s="112"/>
      <c r="L349" s="112"/>
      <c r="M349" s="112"/>
      <c r="N349" s="112"/>
      <c r="O349" s="112"/>
      <c r="P349" s="112"/>
      <c r="Q349" s="112"/>
      <c r="R349" s="112"/>
      <c r="S349" s="112"/>
      <c r="T349" s="112"/>
      <c r="U349" s="112"/>
      <c r="V349" s="209"/>
      <c r="W349" s="209"/>
      <c r="X349" s="209"/>
      <c r="Y349" s="112"/>
      <c r="AA349" s="112"/>
      <c r="AB349" s="112"/>
      <c r="AP349" s="112"/>
      <c r="AQ349" s="112"/>
      <c r="AR349" s="112"/>
      <c r="AS349" s="112"/>
      <c r="AT349" s="112"/>
      <c r="AU349" s="112"/>
    </row>
    <row r="350" spans="2:53" hidden="1" x14ac:dyDescent="0.2">
      <c r="B350" s="112"/>
      <c r="C350" s="112"/>
      <c r="D350" s="112">
        <v>9</v>
      </c>
      <c r="E350" s="1">
        <v>0.76400000000000001</v>
      </c>
      <c r="F350" s="112">
        <v>0.79100000000000004</v>
      </c>
      <c r="G350" s="112">
        <v>0.82899999999999996</v>
      </c>
      <c r="H350" s="112">
        <v>0.85899999999999999</v>
      </c>
      <c r="I350" s="112">
        <v>0.93500000000000005</v>
      </c>
      <c r="J350" s="112"/>
      <c r="K350" s="112"/>
      <c r="L350" s="112"/>
      <c r="M350" s="112"/>
      <c r="N350" s="112"/>
      <c r="O350" s="112"/>
      <c r="P350" s="112"/>
      <c r="Q350" s="112"/>
      <c r="R350" s="112"/>
      <c r="S350" s="112"/>
      <c r="T350" s="112"/>
      <c r="U350" s="112"/>
      <c r="V350" s="209"/>
      <c r="W350" s="209"/>
      <c r="X350" s="209"/>
      <c r="Y350" s="112"/>
      <c r="AA350" s="112"/>
      <c r="AB350" s="112"/>
      <c r="AP350" s="112"/>
      <c r="AQ350" s="112"/>
      <c r="AR350" s="112"/>
      <c r="AS350" s="112"/>
      <c r="AT350" s="112"/>
      <c r="AU350" s="112"/>
    </row>
    <row r="351" spans="2:53" hidden="1" x14ac:dyDescent="0.2">
      <c r="B351" s="112"/>
      <c r="C351" s="112"/>
      <c r="D351" s="112">
        <v>10</v>
      </c>
      <c r="E351" s="1">
        <v>0.78100000000000003</v>
      </c>
      <c r="F351" s="112">
        <v>0.80600000000000005</v>
      </c>
      <c r="G351" s="112">
        <v>0.84199999999999997</v>
      </c>
      <c r="H351" s="112">
        <v>0.86899999999999999</v>
      </c>
      <c r="I351" s="112">
        <v>0.93799999999999994</v>
      </c>
      <c r="J351" s="112"/>
      <c r="K351" s="112"/>
      <c r="L351" s="112"/>
      <c r="M351" s="112"/>
      <c r="N351" s="112"/>
      <c r="O351" s="112"/>
      <c r="P351" s="112"/>
      <c r="Q351" s="112"/>
      <c r="R351" s="112"/>
      <c r="S351" s="112"/>
      <c r="T351" s="112"/>
      <c r="U351" s="112"/>
      <c r="V351" s="209"/>
      <c r="W351" s="209"/>
      <c r="X351" s="209"/>
      <c r="Y351" s="112"/>
      <c r="AA351" s="112"/>
      <c r="AB351" s="112"/>
      <c r="AP351" s="112"/>
      <c r="AQ351" s="112"/>
      <c r="AR351" s="112"/>
      <c r="AS351" s="112"/>
      <c r="AT351" s="112"/>
      <c r="AU351" s="112"/>
    </row>
    <row r="352" spans="2:53" hidden="1" x14ac:dyDescent="0.2">
      <c r="B352" s="112"/>
      <c r="C352" s="112"/>
      <c r="D352" s="112">
        <v>11</v>
      </c>
      <c r="E352" s="1">
        <v>0.79200000000000004</v>
      </c>
      <c r="F352" s="112">
        <v>0.81699999999999995</v>
      </c>
      <c r="G352" s="112">
        <v>0.85</v>
      </c>
      <c r="H352" s="112">
        <v>0.876</v>
      </c>
      <c r="I352" s="112">
        <v>0.94</v>
      </c>
      <c r="J352" s="112"/>
      <c r="K352" s="112"/>
      <c r="L352" s="112"/>
      <c r="M352" s="112"/>
      <c r="N352" s="112"/>
      <c r="O352" s="112"/>
      <c r="P352" s="112"/>
      <c r="Q352" s="112"/>
      <c r="R352" s="112"/>
      <c r="S352" s="112"/>
      <c r="T352" s="112"/>
      <c r="U352" s="112"/>
      <c r="V352" s="209"/>
      <c r="W352" s="209"/>
      <c r="X352" s="209"/>
      <c r="Y352" s="112"/>
      <c r="AA352" s="112"/>
      <c r="AB352" s="112"/>
      <c r="AP352" s="112"/>
      <c r="AQ352" s="112"/>
      <c r="AR352" s="112"/>
      <c r="AS352" s="112"/>
      <c r="AT352" s="112"/>
      <c r="AU352" s="112"/>
    </row>
    <row r="353" spans="2:47" hidden="1" x14ac:dyDescent="0.2">
      <c r="B353" s="112"/>
      <c r="C353" s="112"/>
      <c r="D353" s="112">
        <v>12</v>
      </c>
      <c r="E353" s="1">
        <v>0.80500000000000005</v>
      </c>
      <c r="F353" s="112">
        <v>0.82799999999999996</v>
      </c>
      <c r="G353" s="112">
        <v>0.85899999999999999</v>
      </c>
      <c r="H353" s="112">
        <v>0.88300000000000001</v>
      </c>
      <c r="I353" s="112">
        <v>0.94299999999999995</v>
      </c>
      <c r="J353" s="112"/>
      <c r="K353" s="112"/>
      <c r="L353" s="112"/>
      <c r="M353" s="112"/>
      <c r="N353" s="112"/>
      <c r="O353" s="112"/>
      <c r="P353" s="112"/>
      <c r="Q353" s="112"/>
      <c r="R353" s="112"/>
      <c r="S353" s="112"/>
      <c r="T353" s="112"/>
      <c r="U353" s="112"/>
      <c r="V353" s="209"/>
      <c r="W353" s="209"/>
      <c r="X353" s="209"/>
      <c r="Y353" s="112"/>
      <c r="AA353" s="112"/>
      <c r="AB353" s="112"/>
      <c r="AP353" s="112"/>
      <c r="AQ353" s="112"/>
      <c r="AR353" s="112"/>
      <c r="AS353" s="112"/>
      <c r="AT353" s="112"/>
      <c r="AU353" s="112"/>
    </row>
    <row r="354" spans="2:47" hidden="1" x14ac:dyDescent="0.2">
      <c r="B354" s="112"/>
      <c r="C354" s="112"/>
      <c r="D354" s="112">
        <v>13</v>
      </c>
      <c r="E354" s="1">
        <v>0.81399999999999995</v>
      </c>
      <c r="F354" s="112">
        <v>0.83699999999999997</v>
      </c>
      <c r="G354" s="112">
        <v>0.86599999999999999</v>
      </c>
      <c r="H354" s="112">
        <v>0.88900000000000001</v>
      </c>
      <c r="I354" s="112">
        <v>0.94499999999999995</v>
      </c>
      <c r="J354" s="112"/>
      <c r="K354" s="112"/>
      <c r="L354" s="112"/>
      <c r="M354" s="112"/>
      <c r="N354" s="112"/>
      <c r="O354" s="112"/>
      <c r="P354" s="112"/>
      <c r="Q354" s="112"/>
      <c r="R354" s="112"/>
      <c r="S354" s="112"/>
      <c r="T354" s="112"/>
      <c r="U354" s="112"/>
      <c r="V354" s="209"/>
      <c r="W354" s="209"/>
      <c r="X354" s="209"/>
      <c r="Y354" s="112"/>
      <c r="AA354" s="112"/>
      <c r="AB354" s="112"/>
      <c r="AP354" s="112"/>
      <c r="AQ354" s="112"/>
      <c r="AR354" s="112"/>
      <c r="AS354" s="112"/>
      <c r="AT354" s="112"/>
      <c r="AU354" s="112"/>
    </row>
    <row r="355" spans="2:47" hidden="1" x14ac:dyDescent="0.2">
      <c r="B355" s="112"/>
      <c r="C355" s="112"/>
      <c r="D355" s="112">
        <v>14</v>
      </c>
      <c r="E355" s="1">
        <v>0.82499999999999996</v>
      </c>
      <c r="F355" s="112">
        <v>0.84599999999999997</v>
      </c>
      <c r="G355" s="112">
        <v>0.874</v>
      </c>
      <c r="H355" s="112">
        <v>0.89500000000000002</v>
      </c>
      <c r="I355" s="112">
        <v>0.94699999999999995</v>
      </c>
      <c r="J355" s="112"/>
      <c r="K355" s="112"/>
      <c r="L355" s="112"/>
      <c r="M355" s="112"/>
      <c r="N355" s="112"/>
      <c r="O355" s="112"/>
      <c r="P355" s="112"/>
      <c r="Q355" s="112"/>
      <c r="R355" s="112"/>
      <c r="S355" s="112"/>
      <c r="T355" s="112"/>
      <c r="U355" s="112"/>
      <c r="V355" s="209"/>
      <c r="W355" s="209"/>
      <c r="X355" s="209"/>
      <c r="Y355" s="112"/>
      <c r="AA355" s="112"/>
      <c r="AB355" s="112"/>
      <c r="AP355" s="112"/>
      <c r="AQ355" s="112"/>
      <c r="AR355" s="112"/>
      <c r="AS355" s="112"/>
      <c r="AT355" s="112"/>
      <c r="AU355" s="112"/>
    </row>
    <row r="356" spans="2:47" hidden="1" x14ac:dyDescent="0.2">
      <c r="B356" s="112"/>
      <c r="C356" s="112"/>
      <c r="D356" s="112">
        <v>15</v>
      </c>
      <c r="E356" s="1">
        <v>0.83499999999999996</v>
      </c>
      <c r="F356" s="112">
        <v>0.85499999999999998</v>
      </c>
      <c r="G356" s="112">
        <v>0.88100000000000001</v>
      </c>
      <c r="H356" s="112">
        <v>0.90100000000000002</v>
      </c>
      <c r="I356" s="112">
        <v>0.95</v>
      </c>
      <c r="J356" s="112"/>
      <c r="K356" s="112"/>
      <c r="L356" s="112"/>
      <c r="M356" s="112"/>
      <c r="N356" s="112"/>
      <c r="O356" s="112"/>
      <c r="P356" s="112"/>
      <c r="Q356" s="112"/>
      <c r="R356" s="112"/>
      <c r="S356" s="112"/>
      <c r="T356" s="112"/>
      <c r="U356" s="112"/>
      <c r="V356" s="209"/>
      <c r="W356" s="209"/>
      <c r="X356" s="209"/>
      <c r="Y356" s="112"/>
      <c r="AA356" s="112"/>
      <c r="AB356" s="112"/>
      <c r="AP356" s="112"/>
      <c r="AQ356" s="112"/>
      <c r="AR356" s="112"/>
      <c r="AS356" s="112"/>
      <c r="AT356" s="112"/>
      <c r="AU356" s="112"/>
    </row>
    <row r="357" spans="2:47" hidden="1" x14ac:dyDescent="0.2">
      <c r="B357" s="112"/>
      <c r="C357" s="112"/>
      <c r="D357" s="112">
        <v>16</v>
      </c>
      <c r="E357" s="1">
        <v>0.84399999999999997</v>
      </c>
      <c r="F357" s="112">
        <v>0.86299999999999999</v>
      </c>
      <c r="G357" s="112">
        <v>0.88700000000000001</v>
      </c>
      <c r="H357" s="112">
        <v>0.90600000000000003</v>
      </c>
      <c r="I357" s="112">
        <v>0.95199999999999996</v>
      </c>
      <c r="J357" s="112"/>
      <c r="K357" s="112"/>
      <c r="L357" s="112"/>
      <c r="M357" s="112"/>
      <c r="N357" s="112"/>
      <c r="O357" s="112"/>
      <c r="P357" s="112"/>
      <c r="Q357" s="112"/>
      <c r="R357" s="112"/>
      <c r="S357" s="112"/>
      <c r="T357" s="112"/>
      <c r="U357" s="112"/>
      <c r="V357" s="209"/>
      <c r="W357" s="209"/>
      <c r="X357" s="209"/>
      <c r="Y357" s="112"/>
      <c r="AA357" s="112"/>
      <c r="AB357" s="112"/>
      <c r="AP357" s="112"/>
      <c r="AQ357" s="112"/>
      <c r="AR357" s="112"/>
      <c r="AS357" s="112"/>
      <c r="AT357" s="112"/>
      <c r="AU357" s="112"/>
    </row>
    <row r="358" spans="2:47" hidden="1" x14ac:dyDescent="0.2">
      <c r="B358" s="112"/>
      <c r="C358" s="112"/>
      <c r="D358" s="112">
        <v>17</v>
      </c>
      <c r="E358" s="1">
        <v>0.85099999999999998</v>
      </c>
      <c r="F358" s="112">
        <v>0.86899999999999999</v>
      </c>
      <c r="G358" s="112">
        <v>0.89200000000000002</v>
      </c>
      <c r="H358" s="112">
        <v>0.91</v>
      </c>
      <c r="I358" s="112">
        <v>0.95399999999999996</v>
      </c>
      <c r="J358" s="112"/>
      <c r="K358" s="112"/>
      <c r="L358" s="112"/>
      <c r="M358" s="112"/>
      <c r="N358" s="112"/>
      <c r="O358" s="112"/>
      <c r="P358" s="112"/>
      <c r="Q358" s="112"/>
      <c r="R358" s="112"/>
      <c r="S358" s="112"/>
      <c r="T358" s="112"/>
      <c r="U358" s="112"/>
      <c r="V358" s="209"/>
      <c r="W358" s="209"/>
      <c r="X358" s="209"/>
      <c r="Y358" s="112"/>
      <c r="AA358" s="112"/>
      <c r="AB358" s="112"/>
      <c r="AP358" s="112"/>
      <c r="AQ358" s="112"/>
      <c r="AR358" s="112"/>
      <c r="AS358" s="112"/>
      <c r="AT358" s="112"/>
      <c r="AU358" s="112"/>
    </row>
    <row r="359" spans="2:47" hidden="1" x14ac:dyDescent="0.2">
      <c r="B359" s="112"/>
      <c r="C359" s="112"/>
      <c r="D359" s="112">
        <v>18</v>
      </c>
      <c r="E359" s="1">
        <v>0.85799999999999998</v>
      </c>
      <c r="F359" s="112">
        <v>0.874</v>
      </c>
      <c r="G359" s="112">
        <v>0.89700000000000002</v>
      </c>
      <c r="H359" s="112">
        <v>0.91400000000000003</v>
      </c>
      <c r="I359" s="112">
        <v>0.95599999999999996</v>
      </c>
      <c r="J359" s="112"/>
      <c r="K359" s="112"/>
      <c r="L359" s="112"/>
      <c r="M359" s="112"/>
      <c r="N359" s="112"/>
      <c r="O359" s="112"/>
      <c r="P359" s="112"/>
      <c r="Q359" s="112"/>
      <c r="R359" s="112"/>
      <c r="S359" s="112"/>
      <c r="T359" s="112"/>
      <c r="U359" s="112"/>
      <c r="V359" s="209"/>
      <c r="W359" s="209"/>
      <c r="X359" s="209"/>
      <c r="Y359" s="112"/>
      <c r="AA359" s="112"/>
      <c r="AB359" s="112"/>
      <c r="AP359" s="112"/>
      <c r="AQ359" s="112"/>
      <c r="AR359" s="112"/>
      <c r="AS359" s="112"/>
      <c r="AT359" s="112"/>
      <c r="AU359" s="112"/>
    </row>
    <row r="360" spans="2:47" hidden="1" x14ac:dyDescent="0.2">
      <c r="B360" s="112"/>
      <c r="C360" s="112"/>
      <c r="D360" s="112">
        <v>19</v>
      </c>
      <c r="E360" s="1">
        <v>0.86299999999999999</v>
      </c>
      <c r="F360" s="112">
        <v>0.879</v>
      </c>
      <c r="G360" s="112">
        <v>0.90100000000000002</v>
      </c>
      <c r="H360" s="112">
        <v>0.91700000000000004</v>
      </c>
      <c r="I360" s="112">
        <v>0.95699999999999996</v>
      </c>
      <c r="J360" s="112"/>
      <c r="K360" s="112"/>
      <c r="L360" s="112"/>
      <c r="M360" s="112"/>
      <c r="N360" s="112"/>
      <c r="O360" s="112"/>
      <c r="P360" s="112"/>
      <c r="Q360" s="112"/>
      <c r="R360" s="112"/>
      <c r="S360" s="112"/>
      <c r="T360" s="112"/>
      <c r="U360" s="112"/>
      <c r="V360" s="209"/>
      <c r="W360" s="209"/>
      <c r="X360" s="209"/>
      <c r="Y360" s="112"/>
      <c r="AA360" s="112"/>
      <c r="AB360" s="112"/>
      <c r="AP360" s="112"/>
      <c r="AQ360" s="112"/>
      <c r="AR360" s="112"/>
      <c r="AS360" s="112"/>
      <c r="AT360" s="112"/>
      <c r="AU360" s="112"/>
    </row>
    <row r="361" spans="2:47" hidden="1" x14ac:dyDescent="0.2">
      <c r="B361" s="112"/>
      <c r="C361" s="112"/>
      <c r="D361" s="112">
        <v>20</v>
      </c>
      <c r="E361" s="1">
        <v>0.86799999999999999</v>
      </c>
      <c r="F361" s="112">
        <v>0.88400000000000001</v>
      </c>
      <c r="G361" s="112">
        <v>0.90500000000000003</v>
      </c>
      <c r="H361" s="112">
        <v>0.92</v>
      </c>
      <c r="I361" s="112">
        <v>0.95899999999999996</v>
      </c>
      <c r="J361" s="112"/>
      <c r="K361" s="112"/>
      <c r="L361" s="112"/>
      <c r="M361" s="112"/>
      <c r="N361" s="112"/>
      <c r="O361" s="112"/>
      <c r="P361" s="112"/>
      <c r="Q361" s="112"/>
      <c r="R361" s="112"/>
      <c r="S361" s="112"/>
      <c r="T361" s="112"/>
      <c r="U361" s="112"/>
      <c r="V361" s="209"/>
      <c r="W361" s="209"/>
      <c r="X361" s="209"/>
      <c r="Y361" s="112"/>
      <c r="AA361" s="112"/>
      <c r="AB361" s="112"/>
      <c r="AP361" s="112"/>
      <c r="AQ361" s="112"/>
      <c r="AR361" s="112"/>
      <c r="AS361" s="112"/>
      <c r="AT361" s="112"/>
      <c r="AU361" s="112"/>
    </row>
    <row r="362" spans="2:47" hidden="1" x14ac:dyDescent="0.2">
      <c r="B362" s="112"/>
      <c r="C362" s="112"/>
      <c r="D362" s="112">
        <v>21</v>
      </c>
      <c r="E362" s="1">
        <v>0.873</v>
      </c>
      <c r="F362" s="112">
        <v>0.88800000000000001</v>
      </c>
      <c r="G362" s="112">
        <v>0.90800000000000003</v>
      </c>
      <c r="H362" s="112">
        <v>0.92300000000000004</v>
      </c>
      <c r="I362" s="112">
        <v>0.96</v>
      </c>
      <c r="J362" s="112"/>
      <c r="K362" s="112"/>
      <c r="L362" s="112"/>
      <c r="M362" s="112"/>
      <c r="N362" s="112"/>
      <c r="O362" s="112"/>
      <c r="P362" s="112"/>
      <c r="Q362" s="112"/>
      <c r="R362" s="112"/>
      <c r="S362" s="112"/>
      <c r="T362" s="112"/>
      <c r="U362" s="112"/>
      <c r="V362" s="209"/>
      <c r="W362" s="209"/>
      <c r="X362" s="209"/>
      <c r="Y362" s="112"/>
      <c r="AA362" s="112"/>
      <c r="AB362" s="112"/>
      <c r="AP362" s="112"/>
      <c r="AQ362" s="112"/>
      <c r="AR362" s="112"/>
      <c r="AS362" s="112"/>
      <c r="AT362" s="112"/>
      <c r="AU362" s="112"/>
    </row>
    <row r="363" spans="2:47" hidden="1" x14ac:dyDescent="0.2">
      <c r="B363" s="112"/>
      <c r="C363" s="112"/>
      <c r="D363" s="112">
        <v>22</v>
      </c>
      <c r="E363" s="1">
        <v>0.878</v>
      </c>
      <c r="F363" s="112">
        <v>0.89200000000000002</v>
      </c>
      <c r="G363" s="112">
        <v>0.91100000000000003</v>
      </c>
      <c r="H363" s="112">
        <v>0.92600000000000005</v>
      </c>
      <c r="I363" s="112">
        <v>0.96099999999999997</v>
      </c>
      <c r="J363" s="112"/>
      <c r="K363" s="112"/>
      <c r="L363" s="112"/>
      <c r="M363" s="112"/>
      <c r="N363" s="112"/>
      <c r="O363" s="112"/>
      <c r="P363" s="112"/>
      <c r="Q363" s="112"/>
      <c r="R363" s="112"/>
      <c r="S363" s="112"/>
      <c r="T363" s="112"/>
      <c r="U363" s="112"/>
      <c r="V363" s="209"/>
      <c r="W363" s="209"/>
      <c r="X363" s="209"/>
      <c r="Y363" s="112"/>
      <c r="AA363" s="112"/>
      <c r="AB363" s="112"/>
      <c r="AP363" s="112"/>
      <c r="AQ363" s="112"/>
      <c r="AR363" s="112"/>
      <c r="AS363" s="112"/>
      <c r="AT363" s="112"/>
      <c r="AU363" s="112"/>
    </row>
    <row r="364" spans="2:47" hidden="1" x14ac:dyDescent="0.2">
      <c r="B364" s="112"/>
      <c r="C364" s="112"/>
      <c r="D364" s="112">
        <v>23</v>
      </c>
      <c r="E364" s="1">
        <v>0.88100000000000001</v>
      </c>
      <c r="F364" s="112">
        <v>0.89500000000000002</v>
      </c>
      <c r="G364" s="112">
        <v>0.91400000000000003</v>
      </c>
      <c r="H364" s="112">
        <v>0.92800000000000005</v>
      </c>
      <c r="I364" s="112">
        <v>0.96199999999999997</v>
      </c>
      <c r="J364" s="112"/>
      <c r="K364" s="112"/>
      <c r="L364" s="112"/>
      <c r="M364" s="112"/>
      <c r="N364" s="112"/>
      <c r="O364" s="112"/>
      <c r="P364" s="112"/>
      <c r="Q364" s="112"/>
      <c r="R364" s="112"/>
      <c r="S364" s="112"/>
      <c r="T364" s="112"/>
      <c r="U364" s="112"/>
      <c r="V364" s="209"/>
      <c r="W364" s="209"/>
      <c r="X364" s="209"/>
      <c r="Y364" s="112"/>
      <c r="AA364" s="112"/>
      <c r="AB364" s="112"/>
      <c r="AP364" s="112"/>
      <c r="AQ364" s="112"/>
      <c r="AR364" s="112"/>
      <c r="AS364" s="112"/>
      <c r="AT364" s="112"/>
      <c r="AU364" s="112"/>
    </row>
    <row r="365" spans="2:47" hidden="1" x14ac:dyDescent="0.2">
      <c r="B365" s="112"/>
      <c r="C365" s="112"/>
      <c r="D365" s="112">
        <v>24</v>
      </c>
      <c r="E365" s="1">
        <v>0.88400000000000001</v>
      </c>
      <c r="F365" s="112">
        <v>0.89800000000000002</v>
      </c>
      <c r="G365" s="112">
        <v>0.91600000000000004</v>
      </c>
      <c r="H365" s="112">
        <v>0.93</v>
      </c>
      <c r="I365" s="112">
        <v>0.96299999999999997</v>
      </c>
      <c r="J365" s="112"/>
      <c r="K365" s="112"/>
      <c r="L365" s="112"/>
      <c r="M365" s="112"/>
      <c r="N365" s="112"/>
      <c r="O365" s="112"/>
      <c r="P365" s="112"/>
      <c r="Q365" s="112"/>
      <c r="R365" s="112"/>
      <c r="S365" s="112"/>
      <c r="T365" s="112"/>
      <c r="U365" s="112"/>
      <c r="V365" s="209"/>
      <c r="W365" s="209"/>
      <c r="X365" s="209"/>
      <c r="Y365" s="112"/>
      <c r="AA365" s="112"/>
      <c r="AB365" s="112"/>
      <c r="AP365" s="112"/>
      <c r="AQ365" s="112"/>
      <c r="AR365" s="112"/>
      <c r="AS365" s="112"/>
      <c r="AT365" s="112"/>
      <c r="AU365" s="112"/>
    </row>
    <row r="366" spans="2:47" hidden="1" x14ac:dyDescent="0.2">
      <c r="B366" s="112"/>
      <c r="C366" s="112"/>
      <c r="D366" s="112">
        <v>25</v>
      </c>
      <c r="E366" s="1">
        <v>0.88600000000000001</v>
      </c>
      <c r="F366" s="112">
        <v>0.90100000000000002</v>
      </c>
      <c r="G366" s="112">
        <v>0.91800000000000004</v>
      </c>
      <c r="H366" s="112">
        <v>0.93100000000000005</v>
      </c>
      <c r="I366" s="112">
        <v>0.96399999999999997</v>
      </c>
      <c r="J366" s="112"/>
      <c r="K366" s="112"/>
      <c r="L366" s="112"/>
      <c r="M366" s="112"/>
      <c r="N366" s="112"/>
      <c r="O366" s="112"/>
      <c r="P366" s="112"/>
      <c r="Q366" s="112"/>
      <c r="R366" s="112"/>
      <c r="S366" s="112"/>
      <c r="T366" s="112"/>
      <c r="U366" s="112"/>
      <c r="V366" s="209"/>
      <c r="W366" s="209"/>
      <c r="X366" s="209"/>
      <c r="Y366" s="112"/>
      <c r="AA366" s="112"/>
      <c r="AB366" s="112"/>
      <c r="AP366" s="112"/>
      <c r="AQ366" s="112"/>
      <c r="AR366" s="112"/>
      <c r="AS366" s="112"/>
      <c r="AT366" s="112"/>
      <c r="AU366" s="112"/>
    </row>
    <row r="367" spans="2:47" hidden="1" x14ac:dyDescent="0.2">
      <c r="B367" s="112"/>
      <c r="C367" s="112"/>
      <c r="D367" s="112">
        <v>26</v>
      </c>
      <c r="E367" s="1">
        <v>0.89100000000000001</v>
      </c>
      <c r="F367" s="112">
        <v>0.90400000000000003</v>
      </c>
      <c r="G367" s="112">
        <v>0.92</v>
      </c>
      <c r="H367" s="112">
        <v>0.93300000000000005</v>
      </c>
      <c r="I367" s="112">
        <v>0.96499999999999997</v>
      </c>
      <c r="J367" s="112"/>
      <c r="K367" s="112"/>
      <c r="L367" s="112"/>
      <c r="M367" s="112"/>
      <c r="N367" s="112"/>
      <c r="O367" s="112"/>
      <c r="P367" s="112"/>
      <c r="Q367" s="112"/>
      <c r="R367" s="112"/>
      <c r="S367" s="112"/>
      <c r="T367" s="112"/>
      <c r="U367" s="112"/>
      <c r="V367" s="209"/>
      <c r="W367" s="209"/>
      <c r="X367" s="209"/>
      <c r="Y367" s="112"/>
      <c r="AA367" s="112"/>
      <c r="AB367" s="112"/>
      <c r="AP367" s="112"/>
      <c r="AQ367" s="112"/>
      <c r="AR367" s="112"/>
      <c r="AS367" s="112"/>
      <c r="AT367" s="112"/>
      <c r="AU367" s="112"/>
    </row>
    <row r="368" spans="2:47" hidden="1" x14ac:dyDescent="0.2">
      <c r="B368" s="112"/>
      <c r="C368" s="112"/>
      <c r="D368" s="112">
        <v>27</v>
      </c>
      <c r="E368" s="1">
        <v>0.89400000000000002</v>
      </c>
      <c r="F368" s="112">
        <v>0.90600000000000003</v>
      </c>
      <c r="G368" s="112">
        <v>0.92300000000000004</v>
      </c>
      <c r="H368" s="112">
        <v>0.93500000000000005</v>
      </c>
      <c r="I368" s="112">
        <v>0.96499999999999997</v>
      </c>
      <c r="J368" s="112"/>
      <c r="K368" s="112"/>
      <c r="L368" s="112"/>
      <c r="M368" s="112"/>
      <c r="N368" s="112"/>
      <c r="O368" s="112"/>
      <c r="P368" s="112"/>
      <c r="Q368" s="112"/>
      <c r="R368" s="112"/>
      <c r="S368" s="112"/>
      <c r="T368" s="112"/>
      <c r="U368" s="112"/>
      <c r="V368" s="209"/>
      <c r="W368" s="209"/>
      <c r="X368" s="209"/>
      <c r="Y368" s="112"/>
      <c r="AA368" s="112"/>
      <c r="AB368" s="112"/>
      <c r="AP368" s="112"/>
      <c r="AQ368" s="112"/>
      <c r="AR368" s="112"/>
      <c r="AS368" s="112"/>
      <c r="AT368" s="112"/>
      <c r="AU368" s="112"/>
    </row>
    <row r="369" spans="2:47" hidden="1" x14ac:dyDescent="0.2">
      <c r="B369" s="112"/>
      <c r="C369" s="112"/>
      <c r="D369" s="112">
        <v>28</v>
      </c>
      <c r="E369" s="1">
        <v>0.89600000000000002</v>
      </c>
      <c r="F369" s="112">
        <v>0.90800000000000003</v>
      </c>
      <c r="G369" s="112">
        <v>0.92400000000000004</v>
      </c>
      <c r="H369" s="112">
        <v>0.93600000000000005</v>
      </c>
      <c r="I369" s="112">
        <v>0.96599999999999997</v>
      </c>
      <c r="J369" s="112"/>
      <c r="K369" s="112"/>
      <c r="L369" s="112"/>
      <c r="M369" s="112"/>
      <c r="N369" s="112"/>
      <c r="O369" s="112"/>
      <c r="P369" s="112"/>
      <c r="Q369" s="112"/>
      <c r="R369" s="112"/>
      <c r="S369" s="112"/>
      <c r="T369" s="112"/>
      <c r="U369" s="112"/>
      <c r="V369" s="209"/>
      <c r="W369" s="209"/>
      <c r="X369" s="209"/>
      <c r="Y369" s="112"/>
      <c r="AA369" s="112"/>
      <c r="AB369" s="112"/>
      <c r="AP369" s="112"/>
      <c r="AQ369" s="112"/>
      <c r="AR369" s="112"/>
      <c r="AS369" s="112"/>
      <c r="AT369" s="112"/>
      <c r="AU369" s="112"/>
    </row>
    <row r="370" spans="2:47" hidden="1" x14ac:dyDescent="0.2">
      <c r="B370" s="112"/>
      <c r="C370" s="112"/>
      <c r="D370" s="112">
        <v>29</v>
      </c>
      <c r="E370" s="1">
        <v>0.89800000000000002</v>
      </c>
      <c r="F370" s="112">
        <v>0.91</v>
      </c>
      <c r="G370" s="112">
        <v>0.92600000000000005</v>
      </c>
      <c r="H370" s="112">
        <v>0.93700000000000006</v>
      </c>
      <c r="I370" s="112">
        <v>0.96599999999999997</v>
      </c>
      <c r="J370" s="112"/>
      <c r="K370" s="112"/>
      <c r="L370" s="112"/>
      <c r="M370" s="112"/>
      <c r="N370" s="112"/>
      <c r="O370" s="112"/>
      <c r="P370" s="112"/>
      <c r="Q370" s="112"/>
      <c r="R370" s="112"/>
      <c r="S370" s="112"/>
      <c r="T370" s="112"/>
      <c r="U370" s="112"/>
      <c r="V370" s="209"/>
      <c r="W370" s="209"/>
      <c r="X370" s="209"/>
      <c r="Y370" s="112"/>
      <c r="AA370" s="112"/>
      <c r="AB370" s="112"/>
      <c r="AP370" s="112"/>
      <c r="AQ370" s="112"/>
      <c r="AR370" s="112"/>
      <c r="AS370" s="112"/>
      <c r="AT370" s="112"/>
      <c r="AU370" s="112"/>
    </row>
    <row r="371" spans="2:47" hidden="1" x14ac:dyDescent="0.2">
      <c r="B371" s="112"/>
      <c r="C371" s="112"/>
      <c r="D371" s="112">
        <v>30</v>
      </c>
      <c r="E371" s="1">
        <v>0.9</v>
      </c>
      <c r="F371" s="112">
        <v>0.91200000000000003</v>
      </c>
      <c r="G371" s="112">
        <v>0.92700000000000005</v>
      </c>
      <c r="H371" s="112">
        <v>0.93899999999999995</v>
      </c>
      <c r="I371" s="112">
        <v>0.96699999999999997</v>
      </c>
      <c r="J371" s="112"/>
      <c r="K371" s="112"/>
      <c r="L371" s="112"/>
      <c r="M371" s="112"/>
      <c r="N371" s="112"/>
      <c r="O371" s="112"/>
      <c r="P371" s="112"/>
      <c r="Q371" s="112"/>
      <c r="R371" s="112"/>
      <c r="S371" s="112"/>
      <c r="T371" s="112"/>
      <c r="U371" s="112"/>
      <c r="V371" s="209"/>
      <c r="W371" s="209"/>
      <c r="X371" s="209"/>
      <c r="Y371" s="112"/>
      <c r="AA371" s="112"/>
      <c r="AB371" s="112"/>
      <c r="AP371" s="112"/>
      <c r="AQ371" s="112"/>
      <c r="AR371" s="112"/>
      <c r="AS371" s="112"/>
      <c r="AT371" s="112"/>
      <c r="AU371" s="112"/>
    </row>
    <row r="372" spans="2:47" hidden="1" x14ac:dyDescent="0.2">
      <c r="B372" s="112"/>
      <c r="C372" s="112"/>
      <c r="D372" s="112">
        <v>31</v>
      </c>
      <c r="E372" s="1">
        <v>0.90200000000000002</v>
      </c>
      <c r="F372" s="112">
        <v>0.91400000000000003</v>
      </c>
      <c r="G372" s="112">
        <v>0.92900000000000005</v>
      </c>
      <c r="H372" s="112">
        <v>0.94</v>
      </c>
      <c r="I372" s="112">
        <v>0.96699999999999997</v>
      </c>
      <c r="J372" s="112"/>
      <c r="K372" s="112"/>
      <c r="L372" s="112"/>
      <c r="M372" s="112"/>
      <c r="N372" s="112"/>
      <c r="O372" s="112"/>
      <c r="P372" s="112"/>
      <c r="Q372" s="112"/>
      <c r="R372" s="112"/>
      <c r="S372" s="112"/>
      <c r="T372" s="112"/>
      <c r="U372" s="112"/>
      <c r="V372" s="209"/>
      <c r="W372" s="209"/>
      <c r="X372" s="209"/>
      <c r="Y372" s="112"/>
      <c r="AA372" s="112"/>
      <c r="AB372" s="112"/>
      <c r="AP372" s="112"/>
      <c r="AQ372" s="112"/>
      <c r="AR372" s="112"/>
      <c r="AS372" s="112"/>
      <c r="AT372" s="112"/>
      <c r="AU372" s="112"/>
    </row>
    <row r="373" spans="2:47" hidden="1" x14ac:dyDescent="0.2">
      <c r="B373" s="112"/>
      <c r="C373" s="112"/>
      <c r="D373" s="112">
        <v>32</v>
      </c>
      <c r="E373" s="1">
        <v>0.90400000000000003</v>
      </c>
      <c r="F373" s="112">
        <v>0.91500000000000004</v>
      </c>
      <c r="G373" s="112">
        <v>0.93</v>
      </c>
      <c r="H373" s="112">
        <v>0.94099999999999995</v>
      </c>
      <c r="I373" s="112">
        <v>0.96799999999999997</v>
      </c>
      <c r="J373" s="112"/>
      <c r="K373" s="112"/>
      <c r="L373" s="112"/>
      <c r="M373" s="112"/>
      <c r="N373" s="112"/>
      <c r="O373" s="112"/>
      <c r="P373" s="112"/>
      <c r="Q373" s="112"/>
      <c r="R373" s="112"/>
      <c r="S373" s="112"/>
      <c r="T373" s="112"/>
      <c r="U373" s="112"/>
      <c r="V373" s="209"/>
      <c r="W373" s="209"/>
      <c r="X373" s="209"/>
      <c r="Y373" s="112"/>
      <c r="AA373" s="112"/>
      <c r="AB373" s="112"/>
      <c r="AP373" s="112"/>
      <c r="AQ373" s="112"/>
      <c r="AR373" s="112"/>
      <c r="AS373" s="112"/>
      <c r="AT373" s="112"/>
      <c r="AU373" s="112"/>
    </row>
    <row r="374" spans="2:47" hidden="1" x14ac:dyDescent="0.2">
      <c r="B374" s="112"/>
      <c r="C374" s="112"/>
      <c r="D374" s="112">
        <v>33</v>
      </c>
      <c r="E374" s="1">
        <v>0.90600000000000003</v>
      </c>
      <c r="F374" s="112">
        <v>0.91700000000000004</v>
      </c>
      <c r="G374" s="112">
        <v>0.93100000000000005</v>
      </c>
      <c r="H374" s="112">
        <v>0.94199999999999995</v>
      </c>
      <c r="I374" s="112">
        <v>0.96799999999999997</v>
      </c>
      <c r="J374" s="112"/>
      <c r="K374" s="112"/>
      <c r="L374" s="112"/>
      <c r="M374" s="112"/>
      <c r="N374" s="112"/>
      <c r="O374" s="112"/>
      <c r="P374" s="112"/>
      <c r="Q374" s="112"/>
      <c r="R374" s="112"/>
      <c r="S374" s="112"/>
      <c r="T374" s="112"/>
      <c r="U374" s="112"/>
      <c r="V374" s="209"/>
      <c r="W374" s="209"/>
      <c r="X374" s="209"/>
      <c r="Y374" s="112"/>
      <c r="AA374" s="112"/>
      <c r="AB374" s="112"/>
      <c r="AP374" s="112"/>
      <c r="AQ374" s="112"/>
      <c r="AR374" s="112"/>
      <c r="AS374" s="112"/>
      <c r="AT374" s="112"/>
      <c r="AU374" s="112"/>
    </row>
    <row r="375" spans="2:47" hidden="1" x14ac:dyDescent="0.2">
      <c r="B375" s="112"/>
      <c r="C375" s="112"/>
      <c r="D375" s="112">
        <v>34</v>
      </c>
      <c r="E375" s="1">
        <v>0.90800000000000003</v>
      </c>
      <c r="F375" s="112">
        <v>0.91900000000000004</v>
      </c>
      <c r="G375" s="112">
        <v>0.93300000000000005</v>
      </c>
      <c r="H375" s="112">
        <v>0.94299999999999995</v>
      </c>
      <c r="I375" s="112">
        <v>0.96899999999999997</v>
      </c>
      <c r="J375" s="112"/>
      <c r="K375" s="112"/>
      <c r="L375" s="112"/>
      <c r="M375" s="112"/>
      <c r="N375" s="112"/>
      <c r="O375" s="112"/>
      <c r="P375" s="112"/>
      <c r="Q375" s="112"/>
      <c r="R375" s="112"/>
      <c r="S375" s="112"/>
      <c r="T375" s="112"/>
      <c r="U375" s="112"/>
      <c r="V375" s="209"/>
      <c r="W375" s="209"/>
      <c r="X375" s="209"/>
      <c r="Y375" s="112"/>
      <c r="AA375" s="112"/>
      <c r="AB375" s="112"/>
      <c r="AP375" s="112"/>
      <c r="AQ375" s="112"/>
      <c r="AR375" s="112"/>
      <c r="AS375" s="112"/>
      <c r="AT375" s="112"/>
      <c r="AU375" s="112"/>
    </row>
    <row r="376" spans="2:47" hidden="1" x14ac:dyDescent="0.2">
      <c r="B376" s="112"/>
      <c r="C376" s="112"/>
      <c r="D376" s="112">
        <v>35</v>
      </c>
      <c r="E376" s="1">
        <v>0.91</v>
      </c>
      <c r="F376" s="112">
        <v>0.92</v>
      </c>
      <c r="G376" s="112">
        <v>0.93400000000000005</v>
      </c>
      <c r="H376" s="112">
        <v>0.94399999999999995</v>
      </c>
      <c r="I376" s="112">
        <v>0.96899999999999997</v>
      </c>
      <c r="J376" s="112"/>
      <c r="K376" s="112"/>
      <c r="L376" s="112"/>
      <c r="M376" s="112"/>
      <c r="N376" s="112"/>
      <c r="O376" s="112"/>
      <c r="P376" s="112"/>
      <c r="Q376" s="112"/>
      <c r="R376" s="112"/>
      <c r="S376" s="112"/>
      <c r="T376" s="112"/>
      <c r="U376" s="112"/>
      <c r="V376" s="209"/>
      <c r="W376" s="209"/>
      <c r="X376" s="209"/>
      <c r="Y376" s="112"/>
      <c r="AA376" s="112"/>
      <c r="AB376" s="112"/>
      <c r="AP376" s="112"/>
      <c r="AQ376" s="112"/>
      <c r="AR376" s="112"/>
      <c r="AS376" s="112"/>
      <c r="AT376" s="112"/>
      <c r="AU376" s="112"/>
    </row>
    <row r="377" spans="2:47" hidden="1" x14ac:dyDescent="0.2">
      <c r="B377" s="112"/>
      <c r="C377" s="112"/>
      <c r="D377" s="112">
        <v>36</v>
      </c>
      <c r="E377" s="1">
        <v>0.91200000000000003</v>
      </c>
      <c r="F377" s="112">
        <v>0.92200000000000004</v>
      </c>
      <c r="G377" s="112">
        <v>0.93500000000000005</v>
      </c>
      <c r="H377" s="112">
        <v>0.94499999999999995</v>
      </c>
      <c r="I377" s="112">
        <v>0.97</v>
      </c>
      <c r="J377" s="112"/>
      <c r="K377" s="112"/>
      <c r="L377" s="112"/>
      <c r="M377" s="112"/>
      <c r="N377" s="112"/>
      <c r="O377" s="112"/>
      <c r="P377" s="112"/>
      <c r="Q377" s="112"/>
      <c r="R377" s="112"/>
      <c r="S377" s="112"/>
      <c r="T377" s="112"/>
      <c r="U377" s="112"/>
      <c r="V377" s="209"/>
      <c r="W377" s="209"/>
      <c r="X377" s="209"/>
      <c r="Y377" s="112"/>
      <c r="AA377" s="112"/>
      <c r="AB377" s="112"/>
      <c r="AP377" s="112"/>
      <c r="AQ377" s="112"/>
      <c r="AR377" s="112"/>
      <c r="AS377" s="112"/>
      <c r="AT377" s="112"/>
      <c r="AU377" s="112"/>
    </row>
    <row r="378" spans="2:47" hidden="1" x14ac:dyDescent="0.2">
      <c r="B378" s="112"/>
      <c r="C378" s="112"/>
      <c r="D378" s="112">
        <v>37</v>
      </c>
      <c r="E378" s="1">
        <v>0.91400000000000003</v>
      </c>
      <c r="F378" s="112">
        <v>0.92400000000000004</v>
      </c>
      <c r="G378" s="112">
        <v>0.93600000000000005</v>
      </c>
      <c r="H378" s="112">
        <v>0.94599999999999995</v>
      </c>
      <c r="I378" s="112">
        <v>0.97</v>
      </c>
      <c r="J378" s="112"/>
      <c r="K378" s="112"/>
      <c r="L378" s="112"/>
      <c r="M378" s="112"/>
      <c r="N378" s="112"/>
      <c r="O378" s="112"/>
      <c r="P378" s="112"/>
      <c r="Q378" s="112"/>
      <c r="R378" s="112"/>
      <c r="S378" s="112"/>
      <c r="T378" s="112"/>
      <c r="U378" s="112"/>
      <c r="V378" s="209"/>
      <c r="W378" s="209"/>
      <c r="X378" s="209"/>
      <c r="Y378" s="112"/>
      <c r="AA378" s="112"/>
      <c r="AB378" s="112"/>
      <c r="AP378" s="112"/>
      <c r="AQ378" s="112"/>
      <c r="AR378" s="112"/>
      <c r="AS378" s="112"/>
      <c r="AT378" s="112"/>
      <c r="AU378" s="112"/>
    </row>
    <row r="379" spans="2:47" hidden="1" x14ac:dyDescent="0.2">
      <c r="B379" s="112"/>
      <c r="C379" s="112"/>
      <c r="D379" s="112">
        <v>38</v>
      </c>
      <c r="E379" s="1">
        <v>0.91600000000000004</v>
      </c>
      <c r="F379" s="112">
        <v>0.92500000000000004</v>
      </c>
      <c r="G379" s="112">
        <v>0.93799999999999994</v>
      </c>
      <c r="H379" s="112">
        <v>0.94699999999999995</v>
      </c>
      <c r="I379" s="112">
        <v>0.97099999999999997</v>
      </c>
      <c r="J379" s="112"/>
      <c r="K379" s="112"/>
      <c r="L379" s="112"/>
      <c r="M379" s="112"/>
      <c r="N379" s="112"/>
      <c r="O379" s="112"/>
      <c r="P379" s="112"/>
      <c r="Q379" s="112"/>
      <c r="R379" s="112"/>
      <c r="S379" s="112"/>
      <c r="T379" s="112"/>
      <c r="U379" s="112"/>
      <c r="V379" s="209"/>
      <c r="W379" s="209"/>
      <c r="X379" s="209"/>
      <c r="Y379" s="112"/>
      <c r="AA379" s="112"/>
      <c r="AB379" s="112"/>
      <c r="AP379" s="112"/>
      <c r="AQ379" s="112"/>
      <c r="AR379" s="112"/>
      <c r="AS379" s="112"/>
      <c r="AT379" s="112"/>
      <c r="AU379" s="112"/>
    </row>
    <row r="380" spans="2:47" hidden="1" x14ac:dyDescent="0.2">
      <c r="B380" s="112"/>
      <c r="C380" s="112"/>
      <c r="D380" s="112">
        <v>39</v>
      </c>
      <c r="E380" s="1">
        <v>0.91700000000000004</v>
      </c>
      <c r="F380" s="112">
        <v>0.92700000000000005</v>
      </c>
      <c r="G380" s="112">
        <v>0.93899999999999995</v>
      </c>
      <c r="H380" s="112">
        <v>0.94799999999999995</v>
      </c>
      <c r="I380" s="112">
        <v>0.97099999999999997</v>
      </c>
      <c r="J380" s="112"/>
      <c r="K380" s="112"/>
      <c r="L380" s="112"/>
      <c r="M380" s="112"/>
      <c r="N380" s="112"/>
      <c r="O380" s="112"/>
      <c r="P380" s="112"/>
      <c r="Q380" s="112"/>
      <c r="R380" s="112"/>
      <c r="S380" s="112"/>
      <c r="T380" s="112"/>
      <c r="U380" s="112"/>
      <c r="V380" s="209"/>
      <c r="W380" s="209"/>
      <c r="X380" s="209"/>
      <c r="Y380" s="112"/>
      <c r="AA380" s="112"/>
      <c r="AB380" s="112"/>
      <c r="AP380" s="112"/>
      <c r="AQ380" s="112"/>
      <c r="AR380" s="112"/>
      <c r="AS380" s="112"/>
      <c r="AT380" s="112"/>
      <c r="AU380" s="112"/>
    </row>
    <row r="381" spans="2:47" hidden="1" x14ac:dyDescent="0.2">
      <c r="B381" s="112"/>
      <c r="C381" s="112"/>
      <c r="D381" s="112">
        <v>40</v>
      </c>
      <c r="E381" s="1">
        <v>0.91900000000000004</v>
      </c>
      <c r="F381" s="112">
        <v>0.92800000000000005</v>
      </c>
      <c r="G381" s="112">
        <v>0.94</v>
      </c>
      <c r="H381" s="112">
        <v>0.94899999999999995</v>
      </c>
      <c r="I381" s="112">
        <v>0.97199999999999998</v>
      </c>
      <c r="J381" s="112"/>
      <c r="K381" s="112"/>
      <c r="L381" s="112"/>
      <c r="M381" s="112"/>
      <c r="N381" s="112"/>
      <c r="O381" s="112"/>
      <c r="P381" s="112"/>
      <c r="Q381" s="112"/>
      <c r="R381" s="112"/>
      <c r="S381" s="112"/>
      <c r="T381" s="112"/>
      <c r="U381" s="112"/>
      <c r="V381" s="209"/>
      <c r="W381" s="209"/>
      <c r="X381" s="209"/>
      <c r="Y381" s="112"/>
      <c r="AA381" s="112"/>
      <c r="AB381" s="112"/>
      <c r="AP381" s="112"/>
      <c r="AQ381" s="112"/>
      <c r="AR381" s="112"/>
      <c r="AS381" s="112"/>
      <c r="AT381" s="112"/>
      <c r="AU381" s="112"/>
    </row>
    <row r="382" spans="2:47" hidden="1" x14ac:dyDescent="0.2">
      <c r="B382" s="112"/>
      <c r="C382" s="112"/>
      <c r="D382" s="112">
        <v>41</v>
      </c>
      <c r="E382" s="1">
        <v>0.92</v>
      </c>
      <c r="F382" s="112">
        <v>0.92900000000000005</v>
      </c>
      <c r="G382" s="112">
        <v>0.94099999999999995</v>
      </c>
      <c r="H382" s="112">
        <v>0.95</v>
      </c>
      <c r="I382" s="112">
        <v>0.97199999999999998</v>
      </c>
      <c r="J382" s="112"/>
      <c r="K382" s="112"/>
      <c r="L382" s="112"/>
      <c r="M382" s="112"/>
      <c r="N382" s="112"/>
      <c r="O382" s="112"/>
      <c r="P382" s="112"/>
      <c r="Q382" s="112"/>
      <c r="R382" s="112"/>
      <c r="S382" s="112"/>
      <c r="T382" s="112"/>
      <c r="U382" s="112"/>
      <c r="V382" s="209"/>
      <c r="W382" s="209"/>
      <c r="X382" s="209"/>
      <c r="Y382" s="112"/>
      <c r="AA382" s="112"/>
      <c r="AB382" s="112"/>
      <c r="AP382" s="112"/>
      <c r="AQ382" s="112"/>
      <c r="AR382" s="112"/>
      <c r="AS382" s="112"/>
      <c r="AT382" s="112"/>
      <c r="AU382" s="112"/>
    </row>
    <row r="383" spans="2:47" hidden="1" x14ac:dyDescent="0.2">
      <c r="B383" s="112"/>
      <c r="C383" s="112"/>
      <c r="D383" s="112">
        <v>42</v>
      </c>
      <c r="E383" s="1">
        <v>0.92200000000000004</v>
      </c>
      <c r="F383" s="112">
        <v>0.93</v>
      </c>
      <c r="G383" s="112">
        <v>0.94199999999999995</v>
      </c>
      <c r="H383" s="112">
        <v>0.95099999999999996</v>
      </c>
      <c r="I383" s="112">
        <v>0.97199999999999998</v>
      </c>
      <c r="J383" s="112"/>
      <c r="K383" s="112"/>
      <c r="L383" s="112"/>
      <c r="M383" s="112"/>
      <c r="N383" s="112"/>
      <c r="O383" s="112"/>
      <c r="P383" s="112"/>
      <c r="Q383" s="112"/>
      <c r="R383" s="112"/>
      <c r="S383" s="112"/>
      <c r="T383" s="112"/>
      <c r="U383" s="112"/>
      <c r="V383" s="209"/>
      <c r="W383" s="209"/>
      <c r="X383" s="209"/>
      <c r="Y383" s="112"/>
      <c r="AA383" s="112"/>
      <c r="AB383" s="112"/>
      <c r="AP383" s="112"/>
      <c r="AQ383" s="112"/>
      <c r="AR383" s="112"/>
      <c r="AS383" s="112"/>
      <c r="AT383" s="112"/>
      <c r="AU383" s="112"/>
    </row>
    <row r="384" spans="2:47" hidden="1" x14ac:dyDescent="0.2">
      <c r="B384" s="112"/>
      <c r="C384" s="112"/>
      <c r="D384" s="112">
        <v>43</v>
      </c>
      <c r="E384" s="1">
        <v>0.92300000000000004</v>
      </c>
      <c r="F384" s="112">
        <v>0.93200000000000005</v>
      </c>
      <c r="G384" s="112">
        <v>0.94299999999999995</v>
      </c>
      <c r="H384" s="112">
        <v>0.95099999999999996</v>
      </c>
      <c r="I384" s="112">
        <v>0.97299999999999998</v>
      </c>
      <c r="J384" s="112"/>
      <c r="K384" s="112"/>
      <c r="L384" s="112"/>
      <c r="M384" s="112"/>
      <c r="N384" s="112"/>
      <c r="O384" s="112"/>
      <c r="P384" s="112"/>
      <c r="Q384" s="112"/>
      <c r="R384" s="112"/>
      <c r="S384" s="112"/>
      <c r="T384" s="112"/>
      <c r="U384" s="112"/>
      <c r="V384" s="209"/>
      <c r="W384" s="209"/>
      <c r="X384" s="209"/>
      <c r="Y384" s="112"/>
      <c r="AA384" s="112"/>
      <c r="AB384" s="112"/>
      <c r="AP384" s="112"/>
      <c r="AQ384" s="112"/>
      <c r="AR384" s="112"/>
      <c r="AS384" s="112"/>
      <c r="AT384" s="112"/>
      <c r="AU384" s="112"/>
    </row>
    <row r="385" spans="2:47" hidden="1" x14ac:dyDescent="0.2">
      <c r="B385" s="112"/>
      <c r="C385" s="112"/>
      <c r="D385" s="112">
        <v>44</v>
      </c>
      <c r="E385" s="1">
        <v>0.92400000000000004</v>
      </c>
      <c r="F385" s="112">
        <v>0.93300000000000005</v>
      </c>
      <c r="G385" s="112">
        <v>0.94399999999999995</v>
      </c>
      <c r="H385" s="112">
        <v>0.95199999999999996</v>
      </c>
      <c r="I385" s="112">
        <v>0.97299999999999998</v>
      </c>
      <c r="J385" s="112"/>
      <c r="K385" s="112"/>
      <c r="L385" s="112"/>
      <c r="M385" s="112"/>
      <c r="N385" s="112"/>
      <c r="O385" s="112"/>
      <c r="P385" s="112"/>
      <c r="Q385" s="112"/>
      <c r="R385" s="112"/>
      <c r="S385" s="112"/>
      <c r="T385" s="112"/>
      <c r="U385" s="112"/>
      <c r="V385" s="209"/>
      <c r="W385" s="209"/>
      <c r="X385" s="209"/>
      <c r="Y385" s="112"/>
      <c r="AA385" s="112"/>
      <c r="AB385" s="112"/>
      <c r="AP385" s="112"/>
      <c r="AQ385" s="112"/>
      <c r="AR385" s="112"/>
      <c r="AS385" s="112"/>
      <c r="AT385" s="112"/>
      <c r="AU385" s="112"/>
    </row>
    <row r="386" spans="2:47" hidden="1" x14ac:dyDescent="0.2">
      <c r="B386" s="112"/>
      <c r="C386" s="112"/>
      <c r="D386" s="112">
        <v>45</v>
      </c>
      <c r="E386" s="1">
        <v>0.92600000000000005</v>
      </c>
      <c r="F386" s="112">
        <v>0.93400000000000005</v>
      </c>
      <c r="G386" s="112">
        <v>0.94499999999999995</v>
      </c>
      <c r="H386" s="112">
        <v>0.95299999999999996</v>
      </c>
      <c r="I386" s="112">
        <v>0.97299999999999998</v>
      </c>
      <c r="J386" s="112"/>
      <c r="K386" s="112"/>
      <c r="L386" s="112"/>
      <c r="M386" s="112"/>
      <c r="N386" s="112"/>
      <c r="O386" s="112"/>
      <c r="P386" s="112"/>
      <c r="Q386" s="112"/>
      <c r="R386" s="112"/>
      <c r="S386" s="112"/>
      <c r="T386" s="112"/>
      <c r="U386" s="112"/>
      <c r="V386" s="209"/>
      <c r="W386" s="209"/>
      <c r="X386" s="209"/>
      <c r="Y386" s="112"/>
      <c r="AA386" s="112"/>
      <c r="AB386" s="112"/>
      <c r="AP386" s="112"/>
      <c r="AQ386" s="112"/>
      <c r="AR386" s="112"/>
      <c r="AS386" s="112"/>
      <c r="AT386" s="112"/>
      <c r="AU386" s="112"/>
    </row>
    <row r="387" spans="2:47" hidden="1" x14ac:dyDescent="0.2">
      <c r="B387" s="112"/>
      <c r="C387" s="112"/>
      <c r="D387" s="112">
        <v>46</v>
      </c>
      <c r="E387" s="1">
        <v>0.92700000000000005</v>
      </c>
      <c r="F387" s="112">
        <v>0.93500000000000005</v>
      </c>
      <c r="G387" s="112">
        <v>0.94499999999999995</v>
      </c>
      <c r="H387" s="112">
        <v>0.95299999999999996</v>
      </c>
      <c r="I387" s="112">
        <v>0.97399999999999998</v>
      </c>
      <c r="J387" s="112"/>
      <c r="K387" s="112"/>
      <c r="L387" s="112"/>
      <c r="M387" s="112"/>
      <c r="N387" s="112"/>
      <c r="O387" s="112"/>
      <c r="P387" s="112"/>
      <c r="Q387" s="112"/>
      <c r="R387" s="112"/>
      <c r="S387" s="112"/>
      <c r="T387" s="112"/>
      <c r="U387" s="112"/>
      <c r="V387" s="209"/>
      <c r="W387" s="209"/>
      <c r="X387" s="209"/>
      <c r="Y387" s="112"/>
      <c r="AA387" s="112"/>
      <c r="AB387" s="112"/>
      <c r="AP387" s="112"/>
      <c r="AQ387" s="112"/>
      <c r="AR387" s="112"/>
      <c r="AS387" s="112"/>
      <c r="AT387" s="112"/>
      <c r="AU387" s="112"/>
    </row>
    <row r="388" spans="2:47" hidden="1" x14ac:dyDescent="0.2">
      <c r="B388" s="112"/>
      <c r="C388" s="112"/>
      <c r="D388" s="112">
        <v>47</v>
      </c>
      <c r="E388" s="1">
        <v>0.92800000000000005</v>
      </c>
      <c r="F388" s="112">
        <v>0.93600000000000005</v>
      </c>
      <c r="G388" s="112">
        <v>0.94599999999999995</v>
      </c>
      <c r="H388" s="112">
        <v>0.95399999999999996</v>
      </c>
      <c r="I388" s="112">
        <v>0.97399999999999998</v>
      </c>
      <c r="J388" s="112"/>
      <c r="K388" s="112"/>
      <c r="L388" s="112"/>
      <c r="M388" s="112"/>
      <c r="N388" s="112"/>
      <c r="O388" s="112"/>
      <c r="P388" s="112"/>
      <c r="Q388" s="112"/>
      <c r="R388" s="112"/>
      <c r="S388" s="112"/>
      <c r="T388" s="112"/>
      <c r="U388" s="112"/>
      <c r="V388" s="209"/>
      <c r="W388" s="209"/>
      <c r="X388" s="209"/>
      <c r="Y388" s="112"/>
      <c r="AA388" s="112"/>
      <c r="AB388" s="112"/>
      <c r="AP388" s="112"/>
      <c r="AQ388" s="112"/>
      <c r="AR388" s="112"/>
      <c r="AS388" s="112"/>
      <c r="AT388" s="112"/>
      <c r="AU388" s="112"/>
    </row>
    <row r="389" spans="2:47" hidden="1" x14ac:dyDescent="0.2">
      <c r="B389" s="112"/>
      <c r="C389" s="112"/>
      <c r="D389" s="112">
        <v>48</v>
      </c>
      <c r="E389" s="1">
        <v>0.92900000000000005</v>
      </c>
      <c r="F389" s="112">
        <v>0.93700000000000006</v>
      </c>
      <c r="G389" s="112">
        <v>0.94699999999999995</v>
      </c>
      <c r="H389" s="112">
        <v>0.95399999999999996</v>
      </c>
      <c r="I389" s="112">
        <v>0.97399999999999998</v>
      </c>
      <c r="J389" s="112"/>
      <c r="K389" s="112"/>
      <c r="L389" s="112"/>
      <c r="M389" s="112"/>
      <c r="N389" s="112"/>
      <c r="O389" s="112"/>
      <c r="P389" s="112"/>
      <c r="Q389" s="112"/>
      <c r="R389" s="112"/>
      <c r="S389" s="112"/>
      <c r="T389" s="112"/>
      <c r="U389" s="112"/>
      <c r="V389" s="209"/>
      <c r="W389" s="209"/>
      <c r="X389" s="209"/>
      <c r="Y389" s="112"/>
      <c r="AA389" s="112"/>
      <c r="AB389" s="112"/>
      <c r="AP389" s="112"/>
      <c r="AQ389" s="112"/>
      <c r="AR389" s="112"/>
      <c r="AS389" s="112"/>
      <c r="AT389" s="112"/>
      <c r="AU389" s="112"/>
    </row>
    <row r="390" spans="2:47" hidden="1" x14ac:dyDescent="0.2">
      <c r="B390" s="112"/>
      <c r="C390" s="112"/>
      <c r="D390" s="112">
        <v>49</v>
      </c>
      <c r="E390" s="1">
        <v>0.92900000000000005</v>
      </c>
      <c r="F390" s="112">
        <v>0.93700000000000006</v>
      </c>
      <c r="G390" s="112">
        <v>0.94699999999999995</v>
      </c>
      <c r="H390" s="112">
        <v>0.95499999999999996</v>
      </c>
      <c r="I390" s="112">
        <v>0.97399999999999998</v>
      </c>
      <c r="J390" s="112"/>
      <c r="K390" s="112"/>
      <c r="L390" s="112"/>
      <c r="M390" s="112"/>
      <c r="N390" s="112"/>
      <c r="O390" s="112"/>
      <c r="P390" s="112"/>
      <c r="Q390" s="112"/>
      <c r="R390" s="112"/>
      <c r="S390" s="112"/>
      <c r="T390" s="112"/>
      <c r="U390" s="112"/>
      <c r="V390" s="209"/>
      <c r="W390" s="209"/>
      <c r="X390" s="209"/>
      <c r="Y390" s="112"/>
      <c r="AA390" s="112"/>
      <c r="AB390" s="112"/>
      <c r="AP390" s="112"/>
      <c r="AQ390" s="112"/>
      <c r="AR390" s="112"/>
      <c r="AS390" s="112"/>
      <c r="AT390" s="112"/>
      <c r="AU390" s="112"/>
    </row>
    <row r="391" spans="2:47" hidden="1" x14ac:dyDescent="0.2">
      <c r="B391" s="112"/>
      <c r="C391" s="112"/>
      <c r="D391" s="112">
        <v>50</v>
      </c>
      <c r="E391" s="1">
        <v>0.93</v>
      </c>
      <c r="F391" s="112">
        <v>0.93799999999999994</v>
      </c>
      <c r="G391" s="112">
        <v>0.94699999999999995</v>
      </c>
      <c r="H391" s="112">
        <v>0.95499999999999996</v>
      </c>
      <c r="I391" s="112">
        <v>0.97399999999999998</v>
      </c>
      <c r="J391" s="112"/>
      <c r="K391" s="112"/>
      <c r="L391" s="112"/>
      <c r="M391" s="112"/>
      <c r="N391" s="112"/>
      <c r="O391" s="112"/>
      <c r="P391" s="112"/>
      <c r="Q391" s="112"/>
      <c r="R391" s="112"/>
      <c r="S391" s="112"/>
      <c r="T391" s="112"/>
      <c r="U391" s="112"/>
      <c r="V391" s="209"/>
      <c r="W391" s="209"/>
      <c r="X391" s="209"/>
      <c r="Y391" s="112"/>
      <c r="AA391" s="112"/>
      <c r="AB391" s="112"/>
      <c r="AP391" s="112"/>
      <c r="AQ391" s="112"/>
      <c r="AR391" s="112"/>
      <c r="AS391" s="112"/>
      <c r="AT391" s="112"/>
      <c r="AU391" s="112"/>
    </row>
    <row r="392" spans="2:47" hidden="1" x14ac:dyDescent="0.2">
      <c r="B392" s="112"/>
      <c r="C392" s="112"/>
      <c r="D392" s="112"/>
      <c r="F392" s="112"/>
      <c r="G392" s="112"/>
      <c r="H392" s="112"/>
      <c r="I392" s="112"/>
      <c r="J392" s="112"/>
      <c r="K392" s="112"/>
      <c r="L392" s="112"/>
      <c r="M392" s="112"/>
      <c r="N392" s="112"/>
      <c r="O392" s="112"/>
      <c r="P392" s="112"/>
      <c r="Q392" s="112"/>
      <c r="R392" s="112"/>
      <c r="S392" s="112"/>
      <c r="T392" s="112"/>
      <c r="U392" s="112"/>
      <c r="V392" s="209"/>
      <c r="W392" s="209"/>
      <c r="X392" s="209"/>
      <c r="Y392" s="112"/>
      <c r="AA392" s="112"/>
      <c r="AB392" s="112"/>
      <c r="AP392" s="112"/>
      <c r="AQ392" s="112"/>
      <c r="AR392" s="112"/>
      <c r="AS392" s="112"/>
      <c r="AT392" s="112"/>
      <c r="AU392" s="112"/>
    </row>
    <row r="393" spans="2:47" hidden="1" x14ac:dyDescent="0.2">
      <c r="B393" s="112"/>
      <c r="C393" s="112"/>
      <c r="D393" s="112"/>
      <c r="F393" s="112"/>
      <c r="G393" s="112"/>
      <c r="H393" s="112"/>
      <c r="I393" s="112"/>
      <c r="J393" s="112"/>
      <c r="K393" s="112"/>
      <c r="L393" s="112"/>
      <c r="M393" s="112"/>
      <c r="N393" s="112"/>
      <c r="O393" s="112"/>
      <c r="P393" s="112"/>
      <c r="Q393" s="112"/>
      <c r="R393" s="112"/>
      <c r="S393" s="112"/>
      <c r="T393" s="112"/>
      <c r="U393" s="112"/>
      <c r="V393" s="209"/>
      <c r="W393" s="209"/>
      <c r="X393" s="209"/>
      <c r="Y393" s="112"/>
      <c r="AA393" s="112"/>
      <c r="AB393" s="112"/>
      <c r="AP393" s="112"/>
      <c r="AQ393" s="112"/>
      <c r="AR393" s="112"/>
      <c r="AS393" s="112"/>
      <c r="AT393" s="112"/>
      <c r="AU393" s="112"/>
    </row>
    <row r="394" spans="2:47" hidden="1" x14ac:dyDescent="0.2">
      <c r="B394" s="112"/>
      <c r="C394" s="112"/>
      <c r="D394" s="112"/>
      <c r="F394" s="112"/>
      <c r="G394" s="112"/>
      <c r="H394" s="112"/>
      <c r="I394" s="112"/>
      <c r="J394" s="112"/>
      <c r="K394" s="112"/>
      <c r="L394" s="112"/>
      <c r="M394" s="112"/>
      <c r="N394" s="112"/>
      <c r="O394" s="112"/>
      <c r="P394" s="112"/>
      <c r="Q394" s="112"/>
      <c r="R394" s="112"/>
      <c r="S394" s="112"/>
      <c r="T394" s="112"/>
      <c r="U394" s="112"/>
      <c r="V394" s="209"/>
      <c r="W394" s="209"/>
      <c r="X394" s="209"/>
      <c r="Y394" s="112"/>
      <c r="AA394" s="112"/>
      <c r="AB394" s="112"/>
      <c r="AP394" s="112"/>
      <c r="AQ394" s="112"/>
      <c r="AR394" s="112"/>
      <c r="AS394" s="112"/>
      <c r="AT394" s="112"/>
      <c r="AU394" s="112"/>
    </row>
    <row r="395" spans="2:47" hidden="1" x14ac:dyDescent="0.2">
      <c r="B395" s="112"/>
      <c r="C395" s="112"/>
      <c r="D395" s="112"/>
      <c r="F395" s="112"/>
      <c r="G395" s="112"/>
      <c r="H395" s="112"/>
      <c r="I395" s="112"/>
      <c r="J395" s="112"/>
      <c r="K395" s="112"/>
      <c r="L395" s="112"/>
      <c r="M395" s="112"/>
      <c r="N395" s="112"/>
      <c r="O395" s="112"/>
      <c r="P395" s="112"/>
      <c r="Q395" s="112"/>
      <c r="R395" s="112"/>
      <c r="S395" s="112"/>
      <c r="T395" s="112"/>
      <c r="U395" s="112"/>
      <c r="V395" s="209"/>
      <c r="W395" s="209"/>
      <c r="X395" s="209"/>
      <c r="Y395" s="112"/>
      <c r="AA395" s="112"/>
      <c r="AB395" s="112"/>
      <c r="AP395" s="112"/>
      <c r="AQ395" s="112"/>
      <c r="AR395" s="112"/>
      <c r="AS395" s="112"/>
      <c r="AT395" s="112"/>
      <c r="AU395" s="112"/>
    </row>
    <row r="396" spans="2:47" hidden="1" x14ac:dyDescent="0.2">
      <c r="B396" s="112"/>
      <c r="C396" s="112"/>
      <c r="D396" s="112"/>
      <c r="F396" s="112"/>
      <c r="G396" s="112"/>
      <c r="H396" s="112"/>
      <c r="I396" s="112"/>
      <c r="J396" s="112"/>
      <c r="K396" s="112"/>
      <c r="L396" s="112"/>
      <c r="M396" s="112"/>
      <c r="N396" s="112"/>
      <c r="O396" s="112"/>
      <c r="P396" s="112"/>
      <c r="Q396" s="112"/>
      <c r="R396" s="112"/>
      <c r="S396" s="112"/>
      <c r="T396" s="112"/>
      <c r="U396" s="112"/>
      <c r="V396" s="209"/>
      <c r="W396" s="209"/>
      <c r="X396" s="209"/>
      <c r="Y396" s="112"/>
      <c r="AA396" s="112"/>
      <c r="AB396" s="112"/>
      <c r="AP396" s="112"/>
      <c r="AQ396" s="112"/>
      <c r="AR396" s="112"/>
      <c r="AS396" s="112"/>
      <c r="AT396" s="112"/>
      <c r="AU396" s="112"/>
    </row>
    <row r="397" spans="2:47" hidden="1" x14ac:dyDescent="0.2">
      <c r="B397" s="112"/>
      <c r="C397" s="112"/>
      <c r="D397" s="112" t="s">
        <v>182</v>
      </c>
      <c r="F397" s="112"/>
      <c r="G397" s="112"/>
      <c r="H397" s="112"/>
      <c r="I397" s="112"/>
      <c r="J397" s="112"/>
      <c r="K397" s="112"/>
      <c r="L397" s="112"/>
      <c r="M397" s="112"/>
      <c r="N397" s="112"/>
      <c r="O397" s="112"/>
      <c r="P397" s="112"/>
      <c r="Q397" s="112"/>
      <c r="R397" s="112"/>
      <c r="S397" s="112"/>
      <c r="T397" s="112"/>
      <c r="U397" s="112"/>
      <c r="V397" s="209"/>
      <c r="W397" s="209"/>
      <c r="X397" s="209"/>
      <c r="Y397" s="112"/>
      <c r="AA397" s="112"/>
      <c r="AB397" s="112"/>
      <c r="AP397" s="112"/>
      <c r="AQ397" s="112"/>
      <c r="AR397" s="112"/>
      <c r="AS397" s="112"/>
      <c r="AT397" s="112"/>
      <c r="AU397" s="112"/>
    </row>
    <row r="398" spans="2:47" hidden="1" x14ac:dyDescent="0.2">
      <c r="B398" s="112"/>
      <c r="C398" s="112"/>
      <c r="D398" s="112"/>
      <c r="F398" s="112"/>
      <c r="G398" s="112"/>
      <c r="H398" s="112"/>
      <c r="I398" s="112"/>
      <c r="J398" s="112"/>
      <c r="K398" s="112"/>
      <c r="L398" s="112"/>
      <c r="M398" s="112"/>
      <c r="N398" s="112"/>
      <c r="O398" s="112"/>
      <c r="P398" s="112"/>
      <c r="Q398" s="112"/>
      <c r="R398" s="112"/>
      <c r="S398" s="112"/>
      <c r="T398" s="112"/>
      <c r="U398" s="112"/>
      <c r="V398" s="209"/>
      <c r="W398" s="209"/>
      <c r="X398" s="209"/>
      <c r="Y398" s="112"/>
      <c r="AA398" s="112"/>
      <c r="AB398" s="112"/>
      <c r="AP398" s="112"/>
      <c r="AQ398" s="112"/>
      <c r="AR398" s="112"/>
      <c r="AS398" s="112"/>
      <c r="AT398" s="112"/>
      <c r="AU398" s="112"/>
    </row>
    <row r="399" spans="2:47" hidden="1" x14ac:dyDescent="0.2">
      <c r="B399" s="112"/>
      <c r="C399" s="112"/>
      <c r="D399" s="112" t="s">
        <v>183</v>
      </c>
      <c r="E399" s="1">
        <f>(M457^2)*((AB6-AB7)-1)</f>
        <v>1.0286885714285712E-3</v>
      </c>
      <c r="F399" s="112"/>
      <c r="G399" s="112"/>
      <c r="H399" s="112"/>
      <c r="I399" s="112"/>
      <c r="J399" s="112"/>
      <c r="K399" s="112"/>
      <c r="L399" s="112"/>
      <c r="M399" s="112"/>
      <c r="N399" s="112"/>
      <c r="O399" s="112"/>
      <c r="P399" s="112"/>
      <c r="Q399" s="112"/>
      <c r="R399" s="112"/>
      <c r="S399" s="112"/>
      <c r="T399" s="112"/>
      <c r="U399" s="112"/>
      <c r="V399" s="209"/>
      <c r="W399" s="209"/>
      <c r="X399" s="209"/>
      <c r="Y399" s="112"/>
      <c r="AA399" s="112"/>
      <c r="AB399" s="112"/>
      <c r="AP399" s="112"/>
      <c r="AQ399" s="112"/>
      <c r="AR399" s="112"/>
      <c r="AS399" s="112"/>
      <c r="AT399" s="112"/>
      <c r="AU399" s="112"/>
    </row>
    <row r="400" spans="2:47" hidden="1" x14ac:dyDescent="0.2">
      <c r="B400" s="112"/>
      <c r="C400" s="112"/>
      <c r="D400" s="112" t="s">
        <v>184</v>
      </c>
      <c r="E400" s="1">
        <f>INT((AB6-AB7)/2)</f>
        <v>3</v>
      </c>
      <c r="F400" s="112" t="s">
        <v>185</v>
      </c>
      <c r="G400" s="112"/>
      <c r="H400" s="112"/>
      <c r="I400" s="112"/>
      <c r="J400" s="112"/>
      <c r="K400" s="112"/>
      <c r="L400" s="112"/>
      <c r="M400" s="112"/>
      <c r="N400" s="112"/>
      <c r="O400" s="112"/>
      <c r="P400" s="112"/>
      <c r="Q400" s="112"/>
      <c r="R400" s="112"/>
      <c r="S400" s="112"/>
      <c r="T400" s="112"/>
      <c r="U400" s="112"/>
      <c r="V400" s="209"/>
      <c r="W400" s="209"/>
      <c r="X400" s="209"/>
      <c r="Y400" s="112"/>
      <c r="AA400" s="112"/>
      <c r="AB400" s="112"/>
      <c r="AP400" s="112"/>
      <c r="AQ400" s="112"/>
      <c r="AR400" s="112"/>
      <c r="AS400" s="112"/>
      <c r="AT400" s="112"/>
      <c r="AU400" s="112"/>
    </row>
    <row r="401" spans="2:47" hidden="1" x14ac:dyDescent="0.2">
      <c r="B401" s="112"/>
      <c r="C401" s="112"/>
      <c r="D401" s="112" t="s">
        <v>186</v>
      </c>
      <c r="E401" s="277">
        <f>IF(OR(ISERROR(H456),(AB6-AB7)&lt;3),"",(H456^2)/E399)</f>
        <v>0.86670374912540538</v>
      </c>
      <c r="F401" s="112">
        <f>HLOOKUP(0.05,D342:I391,AB6)</f>
        <v>0.85</v>
      </c>
      <c r="G401" s="112" t="str">
        <f>IF(OR(E401="",(AB6-AB7)&lt;3),"",IF(E401&lt;=F401,"Nei","Ja"))</f>
        <v>Ja</v>
      </c>
      <c r="H401" s="112"/>
      <c r="I401" s="112"/>
      <c r="J401" s="112"/>
      <c r="K401" s="112"/>
      <c r="L401" s="112"/>
      <c r="M401" s="112"/>
      <c r="N401" s="112"/>
      <c r="O401" s="112"/>
      <c r="P401" s="112"/>
      <c r="Q401" s="112"/>
      <c r="R401" s="112"/>
      <c r="S401" s="112"/>
      <c r="T401" s="112"/>
      <c r="U401" s="112"/>
      <c r="V401" s="209"/>
      <c r="W401" s="209"/>
      <c r="X401" s="209"/>
      <c r="Y401" s="112"/>
      <c r="AA401" s="112"/>
      <c r="AB401" s="112"/>
      <c r="AP401" s="112"/>
      <c r="AQ401" s="112"/>
      <c r="AR401" s="112"/>
      <c r="AS401" s="112"/>
      <c r="AT401" s="112"/>
      <c r="AU401" s="112"/>
    </row>
    <row r="402" spans="2:47" hidden="1" x14ac:dyDescent="0.2">
      <c r="B402" s="112"/>
      <c r="C402" s="112"/>
      <c r="D402" s="112" t="s">
        <v>187</v>
      </c>
      <c r="E402" s="276">
        <f>IF(OR(ISERROR(K456),(AB6-AB7)&lt;3),"",(K456^2)/((O457^2)*((AB6-AB7)-1)))</f>
        <v>0.85462515435542707</v>
      </c>
      <c r="F402" s="112">
        <f>F401</f>
        <v>0.85</v>
      </c>
      <c r="G402" s="112" t="str">
        <f>IF(OR(E402="",(AB6-AB7)&lt;3),"",IF(E402&lt;=F402,"Nei","Ja"))</f>
        <v>Ja</v>
      </c>
      <c r="H402" s="112"/>
      <c r="I402" s="112"/>
      <c r="J402" s="112"/>
      <c r="K402" s="112"/>
      <c r="L402" s="112"/>
      <c r="M402" s="112"/>
      <c r="N402" s="112"/>
      <c r="O402" s="112"/>
      <c r="P402" s="112"/>
      <c r="Q402" s="112"/>
      <c r="R402" s="112"/>
      <c r="S402" s="112"/>
      <c r="T402" s="112"/>
      <c r="U402" s="112"/>
      <c r="V402" s="209"/>
      <c r="W402" s="209"/>
      <c r="X402" s="209"/>
      <c r="Y402" s="112"/>
      <c r="AA402" s="112"/>
      <c r="AB402" s="112"/>
      <c r="AP402" s="112"/>
      <c r="AQ402" s="112"/>
      <c r="AR402" s="112"/>
      <c r="AS402" s="112"/>
      <c r="AT402" s="112"/>
      <c r="AU402" s="112"/>
    </row>
    <row r="403" spans="2:47" hidden="1" x14ac:dyDescent="0.2">
      <c r="B403" s="112"/>
      <c r="C403" s="112"/>
      <c r="D403" s="112"/>
      <c r="F403" s="112"/>
      <c r="G403" s="112"/>
      <c r="H403" s="112"/>
      <c r="I403" s="112"/>
      <c r="J403" s="112"/>
      <c r="K403" s="112"/>
      <c r="L403" s="112"/>
      <c r="M403" s="112"/>
      <c r="N403" s="112"/>
      <c r="O403" s="112"/>
      <c r="P403" s="112"/>
      <c r="Q403" s="112"/>
      <c r="R403" s="112"/>
      <c r="S403" s="112"/>
      <c r="T403" s="112"/>
      <c r="U403" s="112"/>
      <c r="V403" s="209"/>
      <c r="W403" s="209"/>
      <c r="X403" s="209"/>
      <c r="Y403" s="112"/>
      <c r="AA403" s="112"/>
      <c r="AB403" s="112"/>
      <c r="AP403" s="112"/>
      <c r="AQ403" s="112"/>
      <c r="AR403" s="112"/>
      <c r="AS403" s="112"/>
      <c r="AT403" s="112"/>
      <c r="AU403" s="112"/>
    </row>
    <row r="404" spans="2:47" hidden="1" x14ac:dyDescent="0.2">
      <c r="B404" s="112"/>
      <c r="C404" s="112"/>
      <c r="D404" s="112" t="s">
        <v>118</v>
      </c>
      <c r="E404" s="1" t="s">
        <v>188</v>
      </c>
      <c r="F404" s="112" t="s">
        <v>189</v>
      </c>
      <c r="G404" s="112" t="s">
        <v>190</v>
      </c>
      <c r="H404" s="112" t="s">
        <v>191</v>
      </c>
      <c r="I404" s="112" t="s">
        <v>192</v>
      </c>
      <c r="J404" s="112" t="s">
        <v>193</v>
      </c>
      <c r="K404" s="112" t="s">
        <v>194</v>
      </c>
      <c r="L404" s="112"/>
      <c r="M404" s="112" t="s">
        <v>465</v>
      </c>
      <c r="N404" s="112" t="s">
        <v>464</v>
      </c>
      <c r="O404" s="112" t="s">
        <v>35</v>
      </c>
      <c r="P404" s="112"/>
      <c r="Q404" s="112"/>
      <c r="R404" s="112"/>
      <c r="S404" s="112"/>
      <c r="T404" s="112"/>
      <c r="U404" s="112"/>
      <c r="V404" s="209"/>
      <c r="W404" s="209"/>
      <c r="X404" s="209"/>
      <c r="Y404" s="112"/>
      <c r="AA404" s="112"/>
      <c r="AB404" s="112"/>
      <c r="AP404" s="112"/>
      <c r="AQ404" s="112"/>
      <c r="AR404" s="112"/>
      <c r="AS404" s="112"/>
      <c r="AT404" s="112"/>
      <c r="AU404" s="112"/>
    </row>
    <row r="405" spans="2:47" hidden="1" x14ac:dyDescent="0.2">
      <c r="B405" s="112"/>
      <c r="C405" s="112"/>
      <c r="D405" s="112">
        <f>1</f>
        <v>1</v>
      </c>
      <c r="E405" s="1">
        <f t="shared" ref="E405:E436" si="114">VLOOKUP(D405,$D$312:$BA$337,($AB$6-$AB$7),FALSE)</f>
        <v>0.62329999999999997</v>
      </c>
      <c r="F405" s="112">
        <f>IF(D405&lt;$E$400+1,LARGE($M$405:$M$454,D405),NA())</f>
        <v>3.4000000000000002E-2</v>
      </c>
      <c r="G405" s="112">
        <f>IF(D405&lt;E$400+1,SMALL($M$405:$M$454,D405),NA())</f>
        <v>3.0000000000000001E-3</v>
      </c>
      <c r="H405" s="112">
        <f>IF(D405=FALSE,FALSE(),E405*(F405-G405))</f>
        <v>1.9322300000000001E-2</v>
      </c>
      <c r="I405" s="112">
        <f t="shared" ref="I405:J405" si="115">LN(F405)</f>
        <v>-3.3813947543659757</v>
      </c>
      <c r="J405" s="112">
        <f t="shared" si="115"/>
        <v>-5.8091429903140277</v>
      </c>
      <c r="K405" s="112">
        <f t="shared" ref="K405" si="116">IF(D405=FALSE,FALSE(),E405*(I405-J405))</f>
        <v>1.5132154754664207</v>
      </c>
      <c r="L405" s="112">
        <v>1</v>
      </c>
      <c r="M405" s="112">
        <f>IF(L405&lt;($AB$6-$AB$7)+1,SMALL($N$405:$N$454,L405),"")</f>
        <v>3.0000000000000001E-3</v>
      </c>
      <c r="N405" s="112">
        <f>IF(AND(ISNUMBER(Beta!F10),($AB$6-$AB$7)&gt;0),Beta!F10,"")</f>
        <v>3.0000000000000001E-3</v>
      </c>
      <c r="O405" s="112">
        <f>IF(ISNUMBER(M405),LN(M405),"")</f>
        <v>-5.8091429903140277</v>
      </c>
      <c r="P405" s="112"/>
      <c r="Q405" s="112"/>
      <c r="R405" s="112"/>
      <c r="S405" s="112"/>
      <c r="T405" s="112"/>
      <c r="U405" s="112"/>
      <c r="V405" s="209"/>
      <c r="W405" s="209"/>
      <c r="X405" s="209"/>
      <c r="Y405" s="112"/>
      <c r="AA405" s="112"/>
      <c r="AB405" s="112"/>
      <c r="AP405" s="112"/>
      <c r="AQ405" s="112"/>
      <c r="AR405" s="112"/>
      <c r="AS405" s="112"/>
      <c r="AT405" s="112"/>
      <c r="AU405" s="112"/>
    </row>
    <row r="406" spans="2:47" hidden="1" x14ac:dyDescent="0.2">
      <c r="B406" s="112"/>
      <c r="C406" s="112"/>
      <c r="D406" s="112">
        <f t="shared" ref="D406:D454" si="117">IF(D405&lt;$E$400,D405+1,FALSE())</f>
        <v>2</v>
      </c>
      <c r="E406" s="1">
        <f t="shared" si="114"/>
        <v>0.30309999999999998</v>
      </c>
      <c r="F406" s="112">
        <f t="shared" ref="F406:F454" si="118">IF(D406&lt;$E$400+1,LARGE($M$405:$M$454,D406),NA())</f>
        <v>3.1399999999999997E-2</v>
      </c>
      <c r="G406" s="112">
        <f t="shared" ref="G406:G454" si="119">IF(D406&lt;E$400+1,SMALL($M$405:$M$454,D406),NA())</f>
        <v>3.2000000000000002E-3</v>
      </c>
      <c r="H406" s="112">
        <f>IF(D406=FALSE,FALSE(),E406*(F406-G406))</f>
        <v>8.5474199999999983E-3</v>
      </c>
      <c r="I406" s="112">
        <f t="shared" ref="I406:I454" si="120">LN(F406)</f>
        <v>-3.4609473860679296</v>
      </c>
      <c r="J406" s="112">
        <f t="shared" ref="J406:J454" si="121">LN(G406)</f>
        <v>-5.7446044691764557</v>
      </c>
      <c r="K406" s="112">
        <f t="shared" ref="K406:K454" si="122">IF(D406=FALSE,FALSE(),E406*(I406-J406))</f>
        <v>0.69217646189019422</v>
      </c>
      <c r="L406" s="112">
        <v>2</v>
      </c>
      <c r="M406" s="112">
        <f t="shared" ref="M406:M454" si="123">IF(L406&lt;($AB$6-$AB$7)+1,SMALL($N$405:$N$454,L406),"")</f>
        <v>3.2000000000000002E-3</v>
      </c>
      <c r="N406" s="112">
        <f>IF(AND(ISNUMBER(Beta!F11),($AB$6-$AB$7)&gt;0),Beta!F11,"")</f>
        <v>1.6500000000000001E-2</v>
      </c>
      <c r="O406" s="112">
        <f t="shared" ref="O406:O454" si="124">IF(ISNUMBER(M406),LN(M406),"")</f>
        <v>-5.7446044691764557</v>
      </c>
      <c r="P406" s="112"/>
      <c r="Q406" s="112"/>
      <c r="R406" s="112"/>
      <c r="S406" s="112"/>
      <c r="T406" s="112"/>
      <c r="U406" s="112"/>
      <c r="V406" s="209"/>
      <c r="W406" s="209"/>
      <c r="X406" s="209"/>
      <c r="Y406" s="112"/>
      <c r="AA406" s="112"/>
      <c r="AB406" s="112"/>
      <c r="AP406" s="112"/>
      <c r="AQ406" s="112"/>
      <c r="AR406" s="112"/>
      <c r="AS406" s="112"/>
      <c r="AT406" s="112"/>
      <c r="AU406" s="112"/>
    </row>
    <row r="407" spans="2:47" hidden="1" x14ac:dyDescent="0.2">
      <c r="B407" s="112"/>
      <c r="C407" s="112"/>
      <c r="D407" s="112">
        <f t="shared" si="117"/>
        <v>3</v>
      </c>
      <c r="E407" s="1">
        <f t="shared" si="114"/>
        <v>0.1401</v>
      </c>
      <c r="F407" s="112">
        <f t="shared" si="118"/>
        <v>1.9E-2</v>
      </c>
      <c r="G407" s="112">
        <f t="shared" si="119"/>
        <v>4.7999999999999996E-3</v>
      </c>
      <c r="H407" s="112">
        <f t="shared" ref="H407:H454" si="125">IF(D407=FALSE,FALSE(),E407*(F407-G407))</f>
        <v>1.98942E-3</v>
      </c>
      <c r="I407" s="112">
        <f t="shared" si="120"/>
        <v>-3.9633162998156966</v>
      </c>
      <c r="J407" s="112">
        <f t="shared" si="121"/>
        <v>-5.339139361068292</v>
      </c>
      <c r="K407" s="112">
        <f t="shared" si="122"/>
        <v>0.19275281088148863</v>
      </c>
      <c r="L407" s="112">
        <v>3</v>
      </c>
      <c r="M407" s="112">
        <f t="shared" si="123"/>
        <v>4.7999999999999996E-3</v>
      </c>
      <c r="N407" s="112" t="str">
        <f>IF(AND(ISNUMBER(Beta!F12),($AB$6-$AB$7)&gt;0),Beta!F12,"")</f>
        <v/>
      </c>
      <c r="O407" s="112">
        <f t="shared" si="124"/>
        <v>-5.339139361068292</v>
      </c>
      <c r="P407" s="112"/>
      <c r="Q407" s="112"/>
      <c r="R407" s="112"/>
      <c r="S407" s="112"/>
      <c r="T407" s="112"/>
      <c r="U407" s="112"/>
      <c r="V407" s="209"/>
      <c r="W407" s="209"/>
      <c r="X407" s="209"/>
      <c r="Y407" s="112"/>
      <c r="AA407" s="112"/>
      <c r="AB407" s="112"/>
      <c r="AP407" s="112"/>
      <c r="AQ407" s="112"/>
      <c r="AR407" s="112"/>
      <c r="AS407" s="112"/>
      <c r="AT407" s="112"/>
      <c r="AU407" s="112"/>
    </row>
    <row r="408" spans="2:47" hidden="1" x14ac:dyDescent="0.2">
      <c r="B408" s="112"/>
      <c r="C408" s="112"/>
      <c r="D408" s="112" t="b">
        <f t="shared" si="117"/>
        <v>0</v>
      </c>
      <c r="E408" s="1" t="e">
        <f t="shared" si="114"/>
        <v>#N/A</v>
      </c>
      <c r="F408" s="112" t="e">
        <f t="shared" si="118"/>
        <v>#N/A</v>
      </c>
      <c r="G408" s="112" t="e">
        <f t="shared" si="119"/>
        <v>#N/A</v>
      </c>
      <c r="H408" s="112" t="b">
        <f t="shared" si="125"/>
        <v>0</v>
      </c>
      <c r="I408" s="112" t="e">
        <f t="shared" si="120"/>
        <v>#N/A</v>
      </c>
      <c r="J408" s="112" t="e">
        <f t="shared" si="121"/>
        <v>#N/A</v>
      </c>
      <c r="K408" s="112" t="b">
        <f t="shared" si="122"/>
        <v>0</v>
      </c>
      <c r="L408" s="112">
        <v>4</v>
      </c>
      <c r="M408" s="112">
        <f t="shared" si="123"/>
        <v>1.6500000000000001E-2</v>
      </c>
      <c r="N408" s="112">
        <f>IF(AND(ISNUMBER(Beta!F13),($AB$6-$AB$7)&gt;0),Beta!F13,"")</f>
        <v>3.2000000000000002E-3</v>
      </c>
      <c r="O408" s="112">
        <f t="shared" si="124"/>
        <v>-4.1043948980756024</v>
      </c>
      <c r="P408" s="112"/>
      <c r="Q408" s="112"/>
      <c r="R408" s="112"/>
      <c r="S408" s="112"/>
      <c r="T408" s="112"/>
      <c r="U408" s="112"/>
      <c r="V408" s="209"/>
      <c r="W408" s="209"/>
      <c r="X408" s="209"/>
      <c r="Y408" s="112"/>
      <c r="AA408" s="112"/>
      <c r="AB408" s="112"/>
      <c r="AP408" s="112"/>
      <c r="AQ408" s="112"/>
      <c r="AR408" s="112"/>
      <c r="AS408" s="112"/>
      <c r="AT408" s="112"/>
      <c r="AU408" s="112"/>
    </row>
    <row r="409" spans="2:47" hidden="1" x14ac:dyDescent="0.2">
      <c r="B409" s="112"/>
      <c r="C409" s="112"/>
      <c r="D409" s="112" t="b">
        <f t="shared" si="117"/>
        <v>0</v>
      </c>
      <c r="E409" s="1" t="e">
        <f t="shared" si="114"/>
        <v>#N/A</v>
      </c>
      <c r="F409" s="112" t="e">
        <f t="shared" si="118"/>
        <v>#N/A</v>
      </c>
      <c r="G409" s="112" t="e">
        <f t="shared" si="119"/>
        <v>#N/A</v>
      </c>
      <c r="H409" s="112" t="b">
        <f t="shared" si="125"/>
        <v>0</v>
      </c>
      <c r="I409" s="112" t="e">
        <f t="shared" si="120"/>
        <v>#N/A</v>
      </c>
      <c r="J409" s="112" t="e">
        <f t="shared" si="121"/>
        <v>#N/A</v>
      </c>
      <c r="K409" s="112" t="b">
        <f t="shared" si="122"/>
        <v>0</v>
      </c>
      <c r="L409" s="112">
        <v>5</v>
      </c>
      <c r="M409" s="112">
        <f t="shared" si="123"/>
        <v>1.9E-2</v>
      </c>
      <c r="N409" s="112">
        <f>IF(AND(ISNUMBER(Beta!F14),($AB$6-$AB$7)&gt;0),Beta!F14,"")</f>
        <v>4.7999999999999996E-3</v>
      </c>
      <c r="O409" s="112">
        <f t="shared" si="124"/>
        <v>-3.9633162998156966</v>
      </c>
      <c r="P409" s="112"/>
      <c r="Q409" s="112"/>
      <c r="R409" s="112"/>
      <c r="S409" s="112"/>
      <c r="T409" s="112"/>
      <c r="U409" s="112"/>
      <c r="V409" s="209"/>
      <c r="W409" s="209"/>
      <c r="X409" s="209"/>
      <c r="Y409" s="112"/>
      <c r="AA409" s="112"/>
      <c r="AB409" s="112"/>
      <c r="AP409" s="112"/>
      <c r="AQ409" s="112"/>
      <c r="AR409" s="112"/>
      <c r="AS409" s="112"/>
      <c r="AT409" s="112"/>
      <c r="AU409" s="112"/>
    </row>
    <row r="410" spans="2:47" hidden="1" x14ac:dyDescent="0.2">
      <c r="B410" s="112"/>
      <c r="C410" s="112"/>
      <c r="D410" s="112" t="b">
        <f t="shared" si="117"/>
        <v>0</v>
      </c>
      <c r="E410" s="1" t="e">
        <f t="shared" si="114"/>
        <v>#N/A</v>
      </c>
      <c r="F410" s="112" t="e">
        <f t="shared" si="118"/>
        <v>#N/A</v>
      </c>
      <c r="G410" s="112" t="e">
        <f t="shared" si="119"/>
        <v>#N/A</v>
      </c>
      <c r="H410" s="112" t="b">
        <f t="shared" si="125"/>
        <v>0</v>
      </c>
      <c r="I410" s="112" t="e">
        <f t="shared" si="120"/>
        <v>#N/A</v>
      </c>
      <c r="J410" s="112" t="e">
        <f t="shared" si="121"/>
        <v>#N/A</v>
      </c>
      <c r="K410" s="112" t="b">
        <f t="shared" si="122"/>
        <v>0</v>
      </c>
      <c r="L410" s="112">
        <v>6</v>
      </c>
      <c r="M410" s="112">
        <f t="shared" si="123"/>
        <v>3.1399999999999997E-2</v>
      </c>
      <c r="N410" s="112">
        <f>IF(AND(ISNUMBER(Beta!F15),($AB$6-$AB$7)&gt;0),Beta!F15,"")</f>
        <v>3.1399999999999997E-2</v>
      </c>
      <c r="O410" s="112">
        <f t="shared" si="124"/>
        <v>-3.4609473860679296</v>
      </c>
      <c r="P410" s="112"/>
      <c r="Q410" s="112"/>
      <c r="R410" s="112"/>
      <c r="S410" s="112"/>
      <c r="T410" s="112"/>
      <c r="U410" s="112"/>
      <c r="V410" s="209"/>
      <c r="W410" s="209"/>
      <c r="X410" s="209"/>
      <c r="Y410" s="112"/>
      <c r="AA410" s="112"/>
      <c r="AB410" s="112"/>
      <c r="AP410" s="112"/>
      <c r="AQ410" s="112"/>
      <c r="AR410" s="112"/>
      <c r="AS410" s="112"/>
      <c r="AT410" s="112"/>
      <c r="AU410" s="112"/>
    </row>
    <row r="411" spans="2:47" hidden="1" x14ac:dyDescent="0.2">
      <c r="B411" s="112"/>
      <c r="C411" s="112"/>
      <c r="D411" s="112" t="b">
        <f t="shared" si="117"/>
        <v>0</v>
      </c>
      <c r="E411" s="1" t="e">
        <f t="shared" si="114"/>
        <v>#N/A</v>
      </c>
      <c r="F411" s="112" t="e">
        <f t="shared" si="118"/>
        <v>#N/A</v>
      </c>
      <c r="G411" s="112" t="e">
        <f t="shared" si="119"/>
        <v>#N/A</v>
      </c>
      <c r="H411" s="112" t="b">
        <f t="shared" si="125"/>
        <v>0</v>
      </c>
      <c r="I411" s="112" t="e">
        <f t="shared" si="120"/>
        <v>#N/A</v>
      </c>
      <c r="J411" s="112" t="e">
        <f t="shared" si="121"/>
        <v>#N/A</v>
      </c>
      <c r="K411" s="112" t="b">
        <f t="shared" si="122"/>
        <v>0</v>
      </c>
      <c r="L411" s="112">
        <v>7</v>
      </c>
      <c r="M411" s="112">
        <f t="shared" si="123"/>
        <v>3.4000000000000002E-2</v>
      </c>
      <c r="N411" s="112" t="str">
        <f>IF(AND(ISNUMBER(Beta!F16),($AB$6-$AB$7)&gt;0),Beta!F16,"")</f>
        <v/>
      </c>
      <c r="O411" s="112">
        <f t="shared" si="124"/>
        <v>-3.3813947543659757</v>
      </c>
      <c r="P411" s="112"/>
      <c r="Q411" s="112"/>
      <c r="R411" s="112"/>
      <c r="S411" s="112"/>
      <c r="T411" s="112"/>
      <c r="U411" s="112"/>
      <c r="V411" s="209"/>
      <c r="W411" s="209"/>
      <c r="X411" s="209"/>
      <c r="Y411" s="112"/>
      <c r="AA411" s="112"/>
      <c r="AB411" s="112"/>
      <c r="AP411" s="112"/>
      <c r="AQ411" s="112"/>
      <c r="AR411" s="112"/>
      <c r="AS411" s="112"/>
      <c r="AT411" s="112"/>
      <c r="AU411" s="112"/>
    </row>
    <row r="412" spans="2:47" hidden="1" x14ac:dyDescent="0.2">
      <c r="B412" s="112"/>
      <c r="C412" s="112"/>
      <c r="D412" s="112" t="b">
        <f t="shared" si="117"/>
        <v>0</v>
      </c>
      <c r="E412" s="1" t="e">
        <f t="shared" si="114"/>
        <v>#N/A</v>
      </c>
      <c r="F412" s="112" t="e">
        <f t="shared" si="118"/>
        <v>#N/A</v>
      </c>
      <c r="G412" s="112" t="e">
        <f t="shared" si="119"/>
        <v>#N/A</v>
      </c>
      <c r="H412" s="112" t="b">
        <f t="shared" si="125"/>
        <v>0</v>
      </c>
      <c r="I412" s="112" t="e">
        <f t="shared" si="120"/>
        <v>#N/A</v>
      </c>
      <c r="J412" s="112" t="e">
        <f t="shared" si="121"/>
        <v>#N/A</v>
      </c>
      <c r="K412" s="112" t="b">
        <f t="shared" si="122"/>
        <v>0</v>
      </c>
      <c r="L412" s="112">
        <v>8</v>
      </c>
      <c r="M412" s="112" t="str">
        <f t="shared" si="123"/>
        <v/>
      </c>
      <c r="N412" s="112" t="str">
        <f>IF(AND(ISNUMBER(Beta!F17),($AB$6-$AB$7)&gt;0),Beta!F17,"")</f>
        <v/>
      </c>
      <c r="O412" s="112" t="str">
        <f t="shared" si="124"/>
        <v/>
      </c>
      <c r="P412" s="112"/>
      <c r="Q412" s="112"/>
      <c r="R412" s="112"/>
      <c r="S412" s="112"/>
      <c r="T412" s="112"/>
      <c r="U412" s="112"/>
      <c r="V412" s="209"/>
      <c r="W412" s="209"/>
      <c r="X412" s="209"/>
      <c r="Y412" s="112"/>
      <c r="AA412" s="112"/>
      <c r="AB412" s="112"/>
      <c r="AP412" s="112"/>
      <c r="AQ412" s="112"/>
      <c r="AR412" s="112"/>
      <c r="AS412" s="112"/>
      <c r="AT412" s="112"/>
      <c r="AU412" s="112"/>
    </row>
    <row r="413" spans="2:47" hidden="1" x14ac:dyDescent="0.2">
      <c r="B413" s="112"/>
      <c r="C413" s="112"/>
      <c r="D413" s="112" t="b">
        <f t="shared" si="117"/>
        <v>0</v>
      </c>
      <c r="E413" s="1" t="e">
        <f t="shared" si="114"/>
        <v>#N/A</v>
      </c>
      <c r="F413" s="112" t="e">
        <f t="shared" si="118"/>
        <v>#N/A</v>
      </c>
      <c r="G413" s="112" t="e">
        <f t="shared" si="119"/>
        <v>#N/A</v>
      </c>
      <c r="H413" s="112" t="b">
        <f t="shared" si="125"/>
        <v>0</v>
      </c>
      <c r="I413" s="112" t="e">
        <f t="shared" si="120"/>
        <v>#N/A</v>
      </c>
      <c r="J413" s="112" t="e">
        <f t="shared" si="121"/>
        <v>#N/A</v>
      </c>
      <c r="K413" s="112" t="b">
        <f t="shared" si="122"/>
        <v>0</v>
      </c>
      <c r="L413" s="112">
        <v>9</v>
      </c>
      <c r="M413" s="112" t="str">
        <f t="shared" si="123"/>
        <v/>
      </c>
      <c r="N413" s="112">
        <f>IF(AND(ISNUMBER(Beta!F18),($AB$6-$AB$7)&gt;0),Beta!F18,"")</f>
        <v>3.4000000000000002E-2</v>
      </c>
      <c r="O413" s="112" t="str">
        <f t="shared" si="124"/>
        <v/>
      </c>
      <c r="P413" s="112"/>
      <c r="Q413" s="112"/>
      <c r="R413" s="112"/>
      <c r="S413" s="112"/>
      <c r="T413" s="112"/>
      <c r="U413" s="112"/>
      <c r="V413" s="209"/>
      <c r="W413" s="209"/>
      <c r="X413" s="209"/>
      <c r="Y413" s="112"/>
      <c r="AA413" s="112"/>
      <c r="AB413" s="112"/>
      <c r="AP413" s="112"/>
      <c r="AQ413" s="112"/>
      <c r="AR413" s="112"/>
      <c r="AS413" s="112"/>
      <c r="AT413" s="112"/>
      <c r="AU413" s="112"/>
    </row>
    <row r="414" spans="2:47" hidden="1" x14ac:dyDescent="0.2">
      <c r="B414" s="112"/>
      <c r="C414" s="112"/>
      <c r="D414" s="112" t="b">
        <f t="shared" si="117"/>
        <v>0</v>
      </c>
      <c r="E414" s="1" t="e">
        <f t="shared" si="114"/>
        <v>#N/A</v>
      </c>
      <c r="F414" s="112" t="e">
        <f t="shared" si="118"/>
        <v>#N/A</v>
      </c>
      <c r="G414" s="112" t="e">
        <f t="shared" si="119"/>
        <v>#N/A</v>
      </c>
      <c r="H414" s="112" t="b">
        <f t="shared" si="125"/>
        <v>0</v>
      </c>
      <c r="I414" s="112" t="e">
        <f t="shared" si="120"/>
        <v>#N/A</v>
      </c>
      <c r="J414" s="112" t="e">
        <f t="shared" si="121"/>
        <v>#N/A</v>
      </c>
      <c r="K414" s="112" t="b">
        <f t="shared" si="122"/>
        <v>0</v>
      </c>
      <c r="L414" s="112">
        <v>10</v>
      </c>
      <c r="M414" s="112" t="str">
        <f t="shared" si="123"/>
        <v/>
      </c>
      <c r="N414" s="112" t="str">
        <f>IF(AND(ISNUMBER(Beta!F19),($AB$6-$AB$7)&gt;0),Beta!F19,"")</f>
        <v/>
      </c>
      <c r="O414" s="112" t="str">
        <f t="shared" si="124"/>
        <v/>
      </c>
      <c r="P414" s="112"/>
      <c r="Q414" s="112"/>
      <c r="R414" s="112"/>
      <c r="S414" s="112"/>
      <c r="T414" s="112"/>
      <c r="U414" s="112"/>
      <c r="V414" s="209"/>
      <c r="W414" s="209"/>
      <c r="X414" s="209"/>
      <c r="Y414" s="112"/>
      <c r="AA414" s="112"/>
      <c r="AB414" s="112"/>
      <c r="AP414" s="112"/>
      <c r="AQ414" s="112"/>
      <c r="AR414" s="112"/>
      <c r="AS414" s="112"/>
      <c r="AT414" s="112"/>
      <c r="AU414" s="112"/>
    </row>
    <row r="415" spans="2:47" hidden="1" x14ac:dyDescent="0.2">
      <c r="B415" s="112"/>
      <c r="C415" s="112"/>
      <c r="D415" s="112" t="b">
        <f t="shared" si="117"/>
        <v>0</v>
      </c>
      <c r="E415" s="1" t="e">
        <f t="shared" si="114"/>
        <v>#N/A</v>
      </c>
      <c r="F415" s="112" t="e">
        <f t="shared" si="118"/>
        <v>#N/A</v>
      </c>
      <c r="G415" s="112" t="e">
        <f t="shared" si="119"/>
        <v>#N/A</v>
      </c>
      <c r="H415" s="112" t="b">
        <f t="shared" si="125"/>
        <v>0</v>
      </c>
      <c r="I415" s="112" t="e">
        <f t="shared" si="120"/>
        <v>#N/A</v>
      </c>
      <c r="J415" s="112" t="e">
        <f t="shared" si="121"/>
        <v>#N/A</v>
      </c>
      <c r="K415" s="112" t="b">
        <f t="shared" si="122"/>
        <v>0</v>
      </c>
      <c r="L415" s="112">
        <v>11</v>
      </c>
      <c r="M415" s="112" t="str">
        <f t="shared" si="123"/>
        <v/>
      </c>
      <c r="N415" s="112">
        <f>IF(AND(ISNUMBER(Beta!F20),($AB$6-$AB$7)&gt;0),Beta!F20,"")</f>
        <v>1.9E-2</v>
      </c>
      <c r="O415" s="112" t="str">
        <f t="shared" si="124"/>
        <v/>
      </c>
      <c r="P415" s="112"/>
      <c r="Q415" s="112"/>
      <c r="R415" s="112"/>
      <c r="S415" s="112"/>
      <c r="T415" s="112"/>
      <c r="U415" s="112"/>
      <c r="V415" s="209"/>
      <c r="W415" s="209"/>
      <c r="X415" s="209"/>
      <c r="Y415" s="112"/>
      <c r="AA415" s="112"/>
      <c r="AB415" s="112"/>
      <c r="AP415" s="112"/>
      <c r="AQ415" s="112"/>
      <c r="AR415" s="112"/>
      <c r="AS415" s="112"/>
      <c r="AT415" s="112"/>
      <c r="AU415" s="112"/>
    </row>
    <row r="416" spans="2:47" hidden="1" x14ac:dyDescent="0.2">
      <c r="B416" s="112"/>
      <c r="C416" s="112"/>
      <c r="D416" s="112" t="b">
        <f t="shared" si="117"/>
        <v>0</v>
      </c>
      <c r="E416" s="1" t="e">
        <f t="shared" si="114"/>
        <v>#N/A</v>
      </c>
      <c r="F416" s="112" t="e">
        <f t="shared" si="118"/>
        <v>#N/A</v>
      </c>
      <c r="G416" s="112" t="e">
        <f t="shared" si="119"/>
        <v>#N/A</v>
      </c>
      <c r="H416" s="112" t="b">
        <f t="shared" si="125"/>
        <v>0</v>
      </c>
      <c r="I416" s="112" t="e">
        <f t="shared" si="120"/>
        <v>#N/A</v>
      </c>
      <c r="J416" s="112" t="e">
        <f t="shared" si="121"/>
        <v>#N/A</v>
      </c>
      <c r="K416" s="112" t="b">
        <f t="shared" si="122"/>
        <v>0</v>
      </c>
      <c r="L416" s="112">
        <v>12</v>
      </c>
      <c r="M416" s="112" t="str">
        <f t="shared" si="123"/>
        <v/>
      </c>
      <c r="N416" s="112" t="str">
        <f>IF(AND(ISNUMBER(Beta!F21),($AB$6-$AB$7)&gt;0),Beta!F21,"")</f>
        <v/>
      </c>
      <c r="O416" s="112" t="str">
        <f t="shared" si="124"/>
        <v/>
      </c>
      <c r="P416" s="112"/>
      <c r="Q416" s="112"/>
      <c r="R416" s="112"/>
      <c r="S416" s="112"/>
      <c r="T416" s="112"/>
      <c r="U416" s="112"/>
      <c r="V416" s="209"/>
      <c r="W416" s="209"/>
      <c r="X416" s="209"/>
      <c r="Y416" s="112"/>
      <c r="AA416" s="112"/>
      <c r="AB416" s="112"/>
      <c r="AP416" s="112"/>
      <c r="AQ416" s="112"/>
      <c r="AR416" s="112"/>
      <c r="AS416" s="112"/>
      <c r="AT416" s="112"/>
      <c r="AU416" s="112"/>
    </row>
    <row r="417" spans="2:47" hidden="1" x14ac:dyDescent="0.2">
      <c r="B417" s="112"/>
      <c r="C417" s="112"/>
      <c r="D417" s="112" t="b">
        <f t="shared" si="117"/>
        <v>0</v>
      </c>
      <c r="E417" s="1" t="e">
        <f t="shared" si="114"/>
        <v>#N/A</v>
      </c>
      <c r="F417" s="112" t="e">
        <f t="shared" si="118"/>
        <v>#N/A</v>
      </c>
      <c r="G417" s="112" t="e">
        <f t="shared" si="119"/>
        <v>#N/A</v>
      </c>
      <c r="H417" s="112" t="b">
        <f t="shared" si="125"/>
        <v>0</v>
      </c>
      <c r="I417" s="112" t="e">
        <f t="shared" si="120"/>
        <v>#N/A</v>
      </c>
      <c r="J417" s="112" t="e">
        <f t="shared" si="121"/>
        <v>#N/A</v>
      </c>
      <c r="K417" s="112" t="b">
        <f t="shared" si="122"/>
        <v>0</v>
      </c>
      <c r="L417" s="112">
        <v>13</v>
      </c>
      <c r="M417" s="112" t="str">
        <f t="shared" si="123"/>
        <v/>
      </c>
      <c r="N417" s="112" t="str">
        <f>IF(AND(ISNUMBER(Beta!F22),($AB$6-$AB$7)&gt;0),Beta!F22,"")</f>
        <v/>
      </c>
      <c r="O417" s="112" t="str">
        <f t="shared" si="124"/>
        <v/>
      </c>
      <c r="P417" s="112"/>
      <c r="Q417" s="112"/>
      <c r="R417" s="112"/>
      <c r="S417" s="112"/>
      <c r="T417" s="112"/>
      <c r="U417" s="112"/>
      <c r="V417" s="209"/>
      <c r="W417" s="209"/>
      <c r="X417" s="209"/>
      <c r="Y417" s="112"/>
      <c r="AA417" s="112"/>
      <c r="AB417" s="112"/>
      <c r="AP417" s="112"/>
      <c r="AQ417" s="112"/>
      <c r="AR417" s="112"/>
      <c r="AS417" s="112"/>
      <c r="AT417" s="112"/>
      <c r="AU417" s="112"/>
    </row>
    <row r="418" spans="2:47" hidden="1" x14ac:dyDescent="0.2">
      <c r="B418" s="112"/>
      <c r="C418" s="112"/>
      <c r="D418" s="112" t="b">
        <f t="shared" si="117"/>
        <v>0</v>
      </c>
      <c r="E418" s="1" t="e">
        <f t="shared" si="114"/>
        <v>#N/A</v>
      </c>
      <c r="F418" s="112" t="e">
        <f t="shared" si="118"/>
        <v>#N/A</v>
      </c>
      <c r="G418" s="112" t="e">
        <f t="shared" si="119"/>
        <v>#N/A</v>
      </c>
      <c r="H418" s="112" t="b">
        <f t="shared" si="125"/>
        <v>0</v>
      </c>
      <c r="I418" s="112" t="e">
        <f t="shared" si="120"/>
        <v>#N/A</v>
      </c>
      <c r="J418" s="112" t="e">
        <f t="shared" si="121"/>
        <v>#N/A</v>
      </c>
      <c r="K418" s="112" t="b">
        <f t="shared" si="122"/>
        <v>0</v>
      </c>
      <c r="L418" s="112">
        <v>14</v>
      </c>
      <c r="M418" s="112" t="str">
        <f t="shared" si="123"/>
        <v/>
      </c>
      <c r="N418" s="112" t="str">
        <f>IF(AND(ISNUMBER(Beta!F23),($AB$6-$AB$7)&gt;0),Beta!F23,"")</f>
        <v/>
      </c>
      <c r="O418" s="112" t="str">
        <f t="shared" si="124"/>
        <v/>
      </c>
      <c r="P418" s="112"/>
      <c r="Q418" s="112"/>
      <c r="R418" s="112"/>
      <c r="S418" s="112"/>
      <c r="T418" s="112"/>
      <c r="U418" s="112"/>
      <c r="V418" s="209"/>
      <c r="W418" s="209"/>
      <c r="X418" s="209"/>
      <c r="Y418" s="112"/>
      <c r="AA418" s="112"/>
      <c r="AB418" s="112"/>
      <c r="AP418" s="112"/>
      <c r="AQ418" s="112"/>
      <c r="AR418" s="112"/>
      <c r="AS418" s="112"/>
      <c r="AT418" s="112"/>
      <c r="AU418" s="112"/>
    </row>
    <row r="419" spans="2:47" hidden="1" x14ac:dyDescent="0.2">
      <c r="B419" s="112"/>
      <c r="C419" s="112"/>
      <c r="D419" s="112" t="b">
        <f t="shared" si="117"/>
        <v>0</v>
      </c>
      <c r="E419" s="1" t="e">
        <f t="shared" si="114"/>
        <v>#N/A</v>
      </c>
      <c r="F419" s="112" t="e">
        <f t="shared" si="118"/>
        <v>#N/A</v>
      </c>
      <c r="G419" s="112" t="e">
        <f t="shared" si="119"/>
        <v>#N/A</v>
      </c>
      <c r="H419" s="112" t="b">
        <f t="shared" si="125"/>
        <v>0</v>
      </c>
      <c r="I419" s="112" t="e">
        <f t="shared" si="120"/>
        <v>#N/A</v>
      </c>
      <c r="J419" s="112" t="e">
        <f t="shared" si="121"/>
        <v>#N/A</v>
      </c>
      <c r="K419" s="112" t="b">
        <f t="shared" si="122"/>
        <v>0</v>
      </c>
      <c r="L419" s="112">
        <v>15</v>
      </c>
      <c r="M419" s="112" t="str">
        <f t="shared" si="123"/>
        <v/>
      </c>
      <c r="N419" s="112" t="str">
        <f>IF(AND(ISNUMBER(Beta!F24),($AB$6-$AB$7)&gt;0),Beta!F24,"")</f>
        <v/>
      </c>
      <c r="O419" s="112" t="str">
        <f t="shared" si="124"/>
        <v/>
      </c>
      <c r="P419" s="112"/>
      <c r="Q419" s="112"/>
      <c r="R419" s="112"/>
      <c r="S419" s="112"/>
      <c r="T419" s="112"/>
      <c r="U419" s="112"/>
      <c r="V419" s="209"/>
      <c r="W419" s="209"/>
      <c r="X419" s="209"/>
      <c r="Y419" s="112"/>
      <c r="AA419" s="112"/>
      <c r="AB419" s="112"/>
      <c r="AP419" s="112"/>
      <c r="AQ419" s="112"/>
      <c r="AR419" s="112"/>
      <c r="AS419" s="112"/>
      <c r="AT419" s="112"/>
      <c r="AU419" s="112"/>
    </row>
    <row r="420" spans="2:47" hidden="1" x14ac:dyDescent="0.2">
      <c r="B420" s="112"/>
      <c r="C420" s="112"/>
      <c r="D420" s="112" t="b">
        <f t="shared" si="117"/>
        <v>0</v>
      </c>
      <c r="E420" s="1" t="e">
        <f t="shared" si="114"/>
        <v>#N/A</v>
      </c>
      <c r="F420" s="112" t="e">
        <f t="shared" si="118"/>
        <v>#N/A</v>
      </c>
      <c r="G420" s="112" t="e">
        <f t="shared" si="119"/>
        <v>#N/A</v>
      </c>
      <c r="H420" s="112" t="b">
        <f t="shared" si="125"/>
        <v>0</v>
      </c>
      <c r="I420" s="112" t="e">
        <f t="shared" si="120"/>
        <v>#N/A</v>
      </c>
      <c r="J420" s="112" t="e">
        <f t="shared" si="121"/>
        <v>#N/A</v>
      </c>
      <c r="K420" s="112" t="b">
        <f t="shared" si="122"/>
        <v>0</v>
      </c>
      <c r="L420" s="112">
        <v>16</v>
      </c>
      <c r="M420" s="112" t="str">
        <f t="shared" si="123"/>
        <v/>
      </c>
      <c r="N420" s="112" t="str">
        <f>IF(AND(ISNUMBER(Beta!F25),($AB$6-$AB$7)&gt;0),Beta!F25,"")</f>
        <v/>
      </c>
      <c r="O420" s="112" t="str">
        <f t="shared" si="124"/>
        <v/>
      </c>
      <c r="P420" s="112"/>
      <c r="Q420" s="112"/>
      <c r="R420" s="112"/>
      <c r="S420" s="112"/>
      <c r="T420" s="112"/>
      <c r="U420" s="112"/>
      <c r="V420" s="209"/>
      <c r="W420" s="209"/>
      <c r="X420" s="209"/>
      <c r="Y420" s="112"/>
      <c r="AA420" s="112"/>
      <c r="AB420" s="112"/>
      <c r="AP420" s="112"/>
      <c r="AQ420" s="112"/>
      <c r="AR420" s="112"/>
      <c r="AS420" s="112"/>
      <c r="AT420" s="112"/>
      <c r="AU420" s="112"/>
    </row>
    <row r="421" spans="2:47" hidden="1" x14ac:dyDescent="0.2">
      <c r="B421" s="112"/>
      <c r="C421" s="112"/>
      <c r="D421" s="112" t="b">
        <f t="shared" si="117"/>
        <v>0</v>
      </c>
      <c r="E421" s="1" t="e">
        <f t="shared" si="114"/>
        <v>#N/A</v>
      </c>
      <c r="F421" s="112" t="e">
        <f t="shared" si="118"/>
        <v>#N/A</v>
      </c>
      <c r="G421" s="112" t="e">
        <f t="shared" si="119"/>
        <v>#N/A</v>
      </c>
      <c r="H421" s="112" t="b">
        <f t="shared" si="125"/>
        <v>0</v>
      </c>
      <c r="I421" s="112" t="e">
        <f t="shared" si="120"/>
        <v>#N/A</v>
      </c>
      <c r="J421" s="112" t="e">
        <f t="shared" si="121"/>
        <v>#N/A</v>
      </c>
      <c r="K421" s="112" t="b">
        <f t="shared" si="122"/>
        <v>0</v>
      </c>
      <c r="L421" s="112">
        <v>17</v>
      </c>
      <c r="M421" s="112" t="str">
        <f t="shared" si="123"/>
        <v/>
      </c>
      <c r="N421" s="112" t="str">
        <f>IF(AND(ISNUMBER(Beta!F26),($AB$6-$AB$7)&gt;0),Beta!F26,"")</f>
        <v/>
      </c>
      <c r="O421" s="112" t="str">
        <f t="shared" si="124"/>
        <v/>
      </c>
      <c r="P421" s="112"/>
      <c r="Q421" s="112"/>
      <c r="R421" s="112"/>
      <c r="S421" s="112"/>
      <c r="T421" s="112"/>
      <c r="U421" s="112"/>
      <c r="V421" s="209"/>
      <c r="W421" s="209"/>
      <c r="X421" s="209"/>
      <c r="Y421" s="112"/>
      <c r="AA421" s="112"/>
      <c r="AB421" s="112"/>
      <c r="AP421" s="112"/>
      <c r="AQ421" s="112"/>
      <c r="AR421" s="112"/>
      <c r="AS421" s="112"/>
      <c r="AT421" s="112"/>
      <c r="AU421" s="112"/>
    </row>
    <row r="422" spans="2:47" hidden="1" x14ac:dyDescent="0.2">
      <c r="B422" s="112"/>
      <c r="C422" s="112"/>
      <c r="D422" s="112" t="b">
        <f t="shared" si="117"/>
        <v>0</v>
      </c>
      <c r="E422" s="1" t="e">
        <f t="shared" si="114"/>
        <v>#N/A</v>
      </c>
      <c r="F422" s="112" t="e">
        <f t="shared" si="118"/>
        <v>#N/A</v>
      </c>
      <c r="G422" s="112" t="e">
        <f t="shared" si="119"/>
        <v>#N/A</v>
      </c>
      <c r="H422" s="112" t="b">
        <f t="shared" si="125"/>
        <v>0</v>
      </c>
      <c r="I422" s="112" t="e">
        <f t="shared" si="120"/>
        <v>#N/A</v>
      </c>
      <c r="J422" s="112" t="e">
        <f t="shared" si="121"/>
        <v>#N/A</v>
      </c>
      <c r="K422" s="112" t="b">
        <f t="shared" si="122"/>
        <v>0</v>
      </c>
      <c r="L422" s="112">
        <v>18</v>
      </c>
      <c r="M422" s="112" t="str">
        <f t="shared" si="123"/>
        <v/>
      </c>
      <c r="N422" s="112" t="str">
        <f>IF(AND(ISNUMBER(Beta!F27),($AB$6-$AB$7)&gt;0),Beta!F27,"")</f>
        <v/>
      </c>
      <c r="O422" s="112" t="str">
        <f t="shared" si="124"/>
        <v/>
      </c>
      <c r="P422" s="112"/>
      <c r="Q422" s="112"/>
      <c r="R422" s="112"/>
      <c r="S422" s="112"/>
      <c r="T422" s="112"/>
      <c r="U422" s="112"/>
      <c r="V422" s="209"/>
      <c r="W422" s="209"/>
      <c r="X422" s="209"/>
      <c r="Y422" s="112"/>
      <c r="AA422" s="112"/>
      <c r="AB422" s="112"/>
      <c r="AP422" s="112"/>
      <c r="AQ422" s="112"/>
      <c r="AR422" s="112"/>
      <c r="AS422" s="112"/>
      <c r="AT422" s="112"/>
      <c r="AU422" s="112"/>
    </row>
    <row r="423" spans="2:47" hidden="1" x14ac:dyDescent="0.2">
      <c r="B423" s="112"/>
      <c r="C423" s="112"/>
      <c r="D423" s="112" t="b">
        <f t="shared" si="117"/>
        <v>0</v>
      </c>
      <c r="E423" s="1" t="e">
        <f t="shared" si="114"/>
        <v>#N/A</v>
      </c>
      <c r="F423" s="112" t="e">
        <f t="shared" si="118"/>
        <v>#N/A</v>
      </c>
      <c r="G423" s="112" t="e">
        <f t="shared" si="119"/>
        <v>#N/A</v>
      </c>
      <c r="H423" s="112" t="b">
        <f t="shared" si="125"/>
        <v>0</v>
      </c>
      <c r="I423" s="112" t="e">
        <f t="shared" si="120"/>
        <v>#N/A</v>
      </c>
      <c r="J423" s="112" t="e">
        <f t="shared" si="121"/>
        <v>#N/A</v>
      </c>
      <c r="K423" s="112" t="b">
        <f t="shared" si="122"/>
        <v>0</v>
      </c>
      <c r="L423" s="112">
        <v>19</v>
      </c>
      <c r="M423" s="112" t="str">
        <f t="shared" si="123"/>
        <v/>
      </c>
      <c r="N423" s="112" t="str">
        <f>IF(AND(ISNUMBER(Beta!F28),($AB$6-$AB$7)&gt;0),Beta!F28,"")</f>
        <v/>
      </c>
      <c r="O423" s="112" t="str">
        <f t="shared" si="124"/>
        <v/>
      </c>
      <c r="P423" s="112"/>
      <c r="Q423" s="112"/>
      <c r="R423" s="112"/>
      <c r="S423" s="112"/>
      <c r="T423" s="112"/>
      <c r="U423" s="112"/>
      <c r="V423" s="209"/>
      <c r="W423" s="209"/>
      <c r="X423" s="209"/>
      <c r="Y423" s="112"/>
      <c r="AA423" s="112"/>
      <c r="AB423" s="112"/>
      <c r="AP423" s="112"/>
      <c r="AQ423" s="112"/>
      <c r="AR423" s="112"/>
      <c r="AS423" s="112"/>
      <c r="AT423" s="112"/>
      <c r="AU423" s="112"/>
    </row>
    <row r="424" spans="2:47" hidden="1" x14ac:dyDescent="0.2">
      <c r="B424" s="112"/>
      <c r="C424" s="112"/>
      <c r="D424" s="112" t="b">
        <f t="shared" si="117"/>
        <v>0</v>
      </c>
      <c r="E424" s="1" t="e">
        <f t="shared" si="114"/>
        <v>#N/A</v>
      </c>
      <c r="F424" s="112" t="e">
        <f t="shared" si="118"/>
        <v>#N/A</v>
      </c>
      <c r="G424" s="112" t="e">
        <f t="shared" si="119"/>
        <v>#N/A</v>
      </c>
      <c r="H424" s="112" t="b">
        <f t="shared" si="125"/>
        <v>0</v>
      </c>
      <c r="I424" s="112" t="e">
        <f t="shared" si="120"/>
        <v>#N/A</v>
      </c>
      <c r="J424" s="112" t="e">
        <f t="shared" si="121"/>
        <v>#N/A</v>
      </c>
      <c r="K424" s="112" t="b">
        <f t="shared" si="122"/>
        <v>0</v>
      </c>
      <c r="L424" s="112">
        <v>20</v>
      </c>
      <c r="M424" s="112" t="str">
        <f t="shared" si="123"/>
        <v/>
      </c>
      <c r="N424" s="112" t="str">
        <f>IF(AND(ISNUMBER(Beta!F29),($AB$6-$AB$7)&gt;0),Beta!F29,"")</f>
        <v/>
      </c>
      <c r="O424" s="112" t="str">
        <f t="shared" si="124"/>
        <v/>
      </c>
      <c r="P424" s="112"/>
      <c r="Q424" s="112"/>
      <c r="R424" s="112"/>
      <c r="S424" s="112"/>
      <c r="T424" s="112"/>
      <c r="U424" s="112"/>
      <c r="V424" s="209"/>
      <c r="W424" s="209"/>
      <c r="X424" s="209"/>
      <c r="Y424" s="112"/>
      <c r="AA424" s="112"/>
      <c r="AB424" s="112"/>
      <c r="AP424" s="112"/>
      <c r="AQ424" s="112"/>
      <c r="AR424" s="112"/>
      <c r="AS424" s="112"/>
      <c r="AT424" s="112"/>
      <c r="AU424" s="112"/>
    </row>
    <row r="425" spans="2:47" hidden="1" x14ac:dyDescent="0.2">
      <c r="B425" s="112"/>
      <c r="C425" s="112"/>
      <c r="D425" s="112" t="b">
        <f t="shared" si="117"/>
        <v>0</v>
      </c>
      <c r="E425" s="1" t="e">
        <f t="shared" si="114"/>
        <v>#N/A</v>
      </c>
      <c r="F425" s="112" t="e">
        <f t="shared" si="118"/>
        <v>#N/A</v>
      </c>
      <c r="G425" s="112" t="e">
        <f t="shared" si="119"/>
        <v>#N/A</v>
      </c>
      <c r="H425" s="112" t="b">
        <f t="shared" si="125"/>
        <v>0</v>
      </c>
      <c r="I425" s="112" t="e">
        <f t="shared" si="120"/>
        <v>#N/A</v>
      </c>
      <c r="J425" s="112" t="e">
        <f t="shared" si="121"/>
        <v>#N/A</v>
      </c>
      <c r="K425" s="112" t="b">
        <f t="shared" si="122"/>
        <v>0</v>
      </c>
      <c r="L425" s="112">
        <v>21</v>
      </c>
      <c r="M425" s="112" t="str">
        <f t="shared" si="123"/>
        <v/>
      </c>
      <c r="N425" s="112" t="str">
        <f>IF(AND(ISNUMBER(Beta!F30),($AB$6-$AB$7)&gt;0),Beta!F30,"")</f>
        <v/>
      </c>
      <c r="O425" s="112" t="str">
        <f t="shared" si="124"/>
        <v/>
      </c>
      <c r="P425" s="112"/>
      <c r="Q425" s="112"/>
      <c r="R425" s="112"/>
      <c r="S425" s="112"/>
      <c r="T425" s="112"/>
      <c r="U425" s="112"/>
      <c r="V425" s="209"/>
      <c r="W425" s="209"/>
      <c r="X425" s="209"/>
      <c r="Y425" s="112"/>
      <c r="AA425" s="112"/>
      <c r="AB425" s="112"/>
      <c r="AP425" s="112"/>
      <c r="AQ425" s="112"/>
      <c r="AR425" s="112"/>
      <c r="AS425" s="112"/>
      <c r="AT425" s="112"/>
      <c r="AU425" s="112"/>
    </row>
    <row r="426" spans="2:47" hidden="1" x14ac:dyDescent="0.2">
      <c r="B426" s="112"/>
      <c r="C426" s="112"/>
      <c r="D426" s="112" t="b">
        <f t="shared" si="117"/>
        <v>0</v>
      </c>
      <c r="E426" s="1" t="e">
        <f t="shared" si="114"/>
        <v>#N/A</v>
      </c>
      <c r="F426" s="112" t="e">
        <f t="shared" si="118"/>
        <v>#N/A</v>
      </c>
      <c r="G426" s="112" t="e">
        <f t="shared" si="119"/>
        <v>#N/A</v>
      </c>
      <c r="H426" s="112" t="b">
        <f t="shared" si="125"/>
        <v>0</v>
      </c>
      <c r="I426" s="112" t="e">
        <f t="shared" si="120"/>
        <v>#N/A</v>
      </c>
      <c r="J426" s="112" t="e">
        <f t="shared" si="121"/>
        <v>#N/A</v>
      </c>
      <c r="K426" s="112" t="b">
        <f t="shared" si="122"/>
        <v>0</v>
      </c>
      <c r="L426" s="112">
        <v>22</v>
      </c>
      <c r="M426" s="112" t="str">
        <f t="shared" si="123"/>
        <v/>
      </c>
      <c r="N426" s="112" t="str">
        <f>IF(AND(ISNUMBER(Beta!F31),($AB$6-$AB$7)&gt;0),Beta!F31,"")</f>
        <v/>
      </c>
      <c r="O426" s="112" t="str">
        <f t="shared" si="124"/>
        <v/>
      </c>
      <c r="P426" s="112"/>
      <c r="Q426" s="112"/>
      <c r="R426" s="112"/>
      <c r="S426" s="112"/>
      <c r="T426" s="112"/>
      <c r="U426" s="112"/>
      <c r="V426" s="209"/>
      <c r="W426" s="209"/>
      <c r="X426" s="209"/>
      <c r="Y426" s="112"/>
      <c r="AA426" s="112"/>
      <c r="AB426" s="112"/>
      <c r="AP426" s="112"/>
      <c r="AQ426" s="112"/>
      <c r="AR426" s="112"/>
      <c r="AS426" s="112"/>
      <c r="AT426" s="112"/>
      <c r="AU426" s="112"/>
    </row>
    <row r="427" spans="2:47" hidden="1" x14ac:dyDescent="0.2">
      <c r="B427" s="112"/>
      <c r="C427" s="112"/>
      <c r="D427" s="112" t="b">
        <f t="shared" si="117"/>
        <v>0</v>
      </c>
      <c r="E427" s="1" t="e">
        <f t="shared" si="114"/>
        <v>#N/A</v>
      </c>
      <c r="F427" s="112" t="e">
        <f t="shared" si="118"/>
        <v>#N/A</v>
      </c>
      <c r="G427" s="112" t="e">
        <f t="shared" si="119"/>
        <v>#N/A</v>
      </c>
      <c r="H427" s="112" t="b">
        <f t="shared" si="125"/>
        <v>0</v>
      </c>
      <c r="I427" s="112" t="e">
        <f t="shared" si="120"/>
        <v>#N/A</v>
      </c>
      <c r="J427" s="112" t="e">
        <f t="shared" si="121"/>
        <v>#N/A</v>
      </c>
      <c r="K427" s="112" t="b">
        <f t="shared" si="122"/>
        <v>0</v>
      </c>
      <c r="L427" s="112">
        <v>23</v>
      </c>
      <c r="M427" s="112" t="str">
        <f t="shared" si="123"/>
        <v/>
      </c>
      <c r="N427" s="112" t="str">
        <f>IF(AND(ISNUMBER(Beta!F32),($AB$6-$AB$7)&gt;0),Beta!F32,"")</f>
        <v/>
      </c>
      <c r="O427" s="112" t="str">
        <f t="shared" si="124"/>
        <v/>
      </c>
      <c r="P427" s="112"/>
      <c r="Q427" s="112"/>
      <c r="R427" s="112"/>
      <c r="S427" s="112"/>
      <c r="T427" s="112"/>
      <c r="U427" s="112"/>
      <c r="V427" s="209"/>
      <c r="W427" s="209"/>
      <c r="X427" s="209"/>
      <c r="Y427" s="112"/>
      <c r="AA427" s="112"/>
      <c r="AB427" s="112"/>
      <c r="AP427" s="112"/>
      <c r="AQ427" s="112"/>
      <c r="AR427" s="112"/>
      <c r="AS427" s="112"/>
      <c r="AT427" s="112"/>
      <c r="AU427" s="112"/>
    </row>
    <row r="428" spans="2:47" hidden="1" x14ac:dyDescent="0.2">
      <c r="B428" s="112"/>
      <c r="C428" s="112"/>
      <c r="D428" s="112" t="b">
        <f t="shared" si="117"/>
        <v>0</v>
      </c>
      <c r="E428" s="1" t="e">
        <f t="shared" si="114"/>
        <v>#N/A</v>
      </c>
      <c r="F428" s="112" t="e">
        <f t="shared" si="118"/>
        <v>#N/A</v>
      </c>
      <c r="G428" s="112" t="e">
        <f t="shared" si="119"/>
        <v>#N/A</v>
      </c>
      <c r="H428" s="112" t="b">
        <f t="shared" si="125"/>
        <v>0</v>
      </c>
      <c r="I428" s="112" t="e">
        <f t="shared" si="120"/>
        <v>#N/A</v>
      </c>
      <c r="J428" s="112" t="e">
        <f t="shared" si="121"/>
        <v>#N/A</v>
      </c>
      <c r="K428" s="112" t="b">
        <f t="shared" si="122"/>
        <v>0</v>
      </c>
      <c r="L428" s="112">
        <v>24</v>
      </c>
      <c r="M428" s="112" t="str">
        <f t="shared" si="123"/>
        <v/>
      </c>
      <c r="N428" s="112" t="str">
        <f>IF(AND(ISNUMBER(Beta!F33),($AB$6-$AB$7)&gt;0),Beta!F33,"")</f>
        <v/>
      </c>
      <c r="O428" s="112" t="str">
        <f t="shared" si="124"/>
        <v/>
      </c>
      <c r="P428" s="112"/>
      <c r="Q428" s="112"/>
      <c r="R428" s="112"/>
      <c r="S428" s="112"/>
      <c r="T428" s="112"/>
      <c r="U428" s="112"/>
      <c r="V428" s="209"/>
      <c r="W428" s="209"/>
      <c r="X428" s="209"/>
      <c r="Y428" s="112"/>
      <c r="AA428" s="112"/>
      <c r="AB428" s="112"/>
      <c r="AP428" s="112"/>
      <c r="AQ428" s="112"/>
      <c r="AR428" s="112"/>
      <c r="AS428" s="112"/>
      <c r="AT428" s="112"/>
      <c r="AU428" s="112"/>
    </row>
    <row r="429" spans="2:47" hidden="1" x14ac:dyDescent="0.2">
      <c r="B429" s="112"/>
      <c r="C429" s="112"/>
      <c r="D429" s="112" t="b">
        <f t="shared" si="117"/>
        <v>0</v>
      </c>
      <c r="E429" s="1" t="e">
        <f t="shared" si="114"/>
        <v>#N/A</v>
      </c>
      <c r="F429" s="112" t="e">
        <f t="shared" si="118"/>
        <v>#N/A</v>
      </c>
      <c r="G429" s="112" t="e">
        <f t="shared" si="119"/>
        <v>#N/A</v>
      </c>
      <c r="H429" s="112" t="b">
        <f t="shared" si="125"/>
        <v>0</v>
      </c>
      <c r="I429" s="112" t="e">
        <f t="shared" si="120"/>
        <v>#N/A</v>
      </c>
      <c r="J429" s="112" t="e">
        <f t="shared" si="121"/>
        <v>#N/A</v>
      </c>
      <c r="K429" s="112" t="b">
        <f t="shared" si="122"/>
        <v>0</v>
      </c>
      <c r="L429" s="112">
        <v>25</v>
      </c>
      <c r="M429" s="112" t="str">
        <f t="shared" si="123"/>
        <v/>
      </c>
      <c r="N429" s="112" t="str">
        <f>IF(AND(ISNUMBER(Beta!F34),($AB$6-$AB$7)&gt;0),Beta!F34,"")</f>
        <v/>
      </c>
      <c r="O429" s="112" t="str">
        <f t="shared" si="124"/>
        <v/>
      </c>
      <c r="P429" s="112"/>
      <c r="Q429" s="112"/>
      <c r="R429" s="112"/>
      <c r="S429" s="112"/>
      <c r="T429" s="112"/>
      <c r="U429" s="112"/>
      <c r="V429" s="209"/>
      <c r="W429" s="209"/>
      <c r="X429" s="209"/>
      <c r="Y429" s="112"/>
      <c r="AA429" s="112"/>
      <c r="AB429" s="112"/>
      <c r="AP429" s="112"/>
      <c r="AQ429" s="112"/>
      <c r="AR429" s="112"/>
      <c r="AS429" s="112"/>
      <c r="AT429" s="112"/>
      <c r="AU429" s="112"/>
    </row>
    <row r="430" spans="2:47" hidden="1" x14ac:dyDescent="0.2">
      <c r="B430" s="112"/>
      <c r="C430" s="112"/>
      <c r="D430" s="112" t="b">
        <f t="shared" si="117"/>
        <v>0</v>
      </c>
      <c r="E430" s="1" t="e">
        <f t="shared" si="114"/>
        <v>#N/A</v>
      </c>
      <c r="F430" s="112" t="e">
        <f t="shared" si="118"/>
        <v>#N/A</v>
      </c>
      <c r="G430" s="112" t="e">
        <f t="shared" si="119"/>
        <v>#N/A</v>
      </c>
      <c r="H430" s="112" t="b">
        <f t="shared" si="125"/>
        <v>0</v>
      </c>
      <c r="I430" s="112" t="e">
        <f t="shared" si="120"/>
        <v>#N/A</v>
      </c>
      <c r="J430" s="112" t="e">
        <f t="shared" si="121"/>
        <v>#N/A</v>
      </c>
      <c r="K430" s="112" t="b">
        <f t="shared" si="122"/>
        <v>0</v>
      </c>
      <c r="L430" s="112">
        <v>26</v>
      </c>
      <c r="M430" s="112" t="str">
        <f t="shared" si="123"/>
        <v/>
      </c>
      <c r="N430" s="112" t="str">
        <f>IF(AND(ISNUMBER(Beta!F35),($AB$6-$AB$7)&gt;0),Beta!F35,"")</f>
        <v/>
      </c>
      <c r="O430" s="112" t="str">
        <f t="shared" si="124"/>
        <v/>
      </c>
      <c r="P430" s="112"/>
      <c r="Q430" s="112"/>
      <c r="R430" s="112"/>
      <c r="S430" s="112"/>
      <c r="T430" s="112"/>
      <c r="U430" s="112"/>
      <c r="V430" s="209"/>
      <c r="W430" s="209"/>
      <c r="X430" s="209"/>
      <c r="Y430" s="112"/>
      <c r="AA430" s="112"/>
      <c r="AB430" s="112"/>
      <c r="AP430" s="112"/>
      <c r="AQ430" s="112"/>
      <c r="AR430" s="112"/>
      <c r="AS430" s="112"/>
      <c r="AT430" s="112"/>
      <c r="AU430" s="112"/>
    </row>
    <row r="431" spans="2:47" hidden="1" x14ac:dyDescent="0.2">
      <c r="B431" s="112"/>
      <c r="C431" s="112"/>
      <c r="D431" s="112" t="b">
        <f t="shared" si="117"/>
        <v>0</v>
      </c>
      <c r="E431" s="1" t="e">
        <f t="shared" si="114"/>
        <v>#N/A</v>
      </c>
      <c r="F431" s="112" t="e">
        <f t="shared" si="118"/>
        <v>#N/A</v>
      </c>
      <c r="G431" s="112" t="e">
        <f t="shared" si="119"/>
        <v>#N/A</v>
      </c>
      <c r="H431" s="112" t="b">
        <f t="shared" si="125"/>
        <v>0</v>
      </c>
      <c r="I431" s="112" t="e">
        <f t="shared" si="120"/>
        <v>#N/A</v>
      </c>
      <c r="J431" s="112" t="e">
        <f t="shared" si="121"/>
        <v>#N/A</v>
      </c>
      <c r="K431" s="112" t="b">
        <f t="shared" si="122"/>
        <v>0</v>
      </c>
      <c r="L431" s="112">
        <v>27</v>
      </c>
      <c r="M431" s="112" t="str">
        <f t="shared" si="123"/>
        <v/>
      </c>
      <c r="N431" s="112" t="str">
        <f>IF(AND(ISNUMBER(Beta!F36),($AB$6-$AB$7)&gt;0),Beta!F36,"")</f>
        <v/>
      </c>
      <c r="O431" s="112" t="str">
        <f t="shared" si="124"/>
        <v/>
      </c>
      <c r="P431" s="112"/>
      <c r="Q431" s="112"/>
      <c r="R431" s="112"/>
      <c r="S431" s="112"/>
      <c r="T431" s="112"/>
      <c r="U431" s="112"/>
      <c r="V431" s="209"/>
      <c r="W431" s="209"/>
      <c r="X431" s="209"/>
      <c r="Y431" s="112"/>
      <c r="AA431" s="112"/>
      <c r="AB431" s="112"/>
      <c r="AP431" s="112"/>
      <c r="AQ431" s="112"/>
      <c r="AR431" s="112"/>
      <c r="AS431" s="112"/>
      <c r="AT431" s="112"/>
      <c r="AU431" s="112"/>
    </row>
    <row r="432" spans="2:47" hidden="1" x14ac:dyDescent="0.2">
      <c r="B432" s="112"/>
      <c r="C432" s="112"/>
      <c r="D432" s="112" t="b">
        <f t="shared" si="117"/>
        <v>0</v>
      </c>
      <c r="E432" s="1" t="e">
        <f t="shared" si="114"/>
        <v>#N/A</v>
      </c>
      <c r="F432" s="112" t="e">
        <f t="shared" si="118"/>
        <v>#N/A</v>
      </c>
      <c r="G432" s="112" t="e">
        <f t="shared" si="119"/>
        <v>#N/A</v>
      </c>
      <c r="H432" s="112" t="b">
        <f t="shared" si="125"/>
        <v>0</v>
      </c>
      <c r="I432" s="112" t="e">
        <f t="shared" si="120"/>
        <v>#N/A</v>
      </c>
      <c r="J432" s="112" t="e">
        <f t="shared" si="121"/>
        <v>#N/A</v>
      </c>
      <c r="K432" s="112" t="b">
        <f t="shared" si="122"/>
        <v>0</v>
      </c>
      <c r="L432" s="112">
        <v>28</v>
      </c>
      <c r="M432" s="112" t="str">
        <f t="shared" si="123"/>
        <v/>
      </c>
      <c r="N432" s="112" t="str">
        <f>IF(AND(ISNUMBER(Beta!F37),($AB$6-$AB$7)&gt;0),Beta!F37,"")</f>
        <v/>
      </c>
      <c r="O432" s="112" t="str">
        <f t="shared" si="124"/>
        <v/>
      </c>
      <c r="P432" s="112"/>
      <c r="Q432" s="112"/>
      <c r="R432" s="112"/>
      <c r="S432" s="112"/>
      <c r="T432" s="112"/>
      <c r="U432" s="112"/>
      <c r="V432" s="209"/>
      <c r="W432" s="209"/>
      <c r="X432" s="209"/>
      <c r="Y432" s="112"/>
      <c r="AA432" s="112"/>
      <c r="AB432" s="112"/>
      <c r="AP432" s="112"/>
      <c r="AQ432" s="112"/>
      <c r="AR432" s="112"/>
      <c r="AS432" s="112"/>
      <c r="AT432" s="112"/>
      <c r="AU432" s="112"/>
    </row>
    <row r="433" spans="2:47" hidden="1" x14ac:dyDescent="0.2">
      <c r="B433" s="112"/>
      <c r="C433" s="112"/>
      <c r="D433" s="112" t="b">
        <f t="shared" si="117"/>
        <v>0</v>
      </c>
      <c r="E433" s="1" t="e">
        <f t="shared" si="114"/>
        <v>#N/A</v>
      </c>
      <c r="F433" s="112" t="e">
        <f t="shared" si="118"/>
        <v>#N/A</v>
      </c>
      <c r="G433" s="112" t="e">
        <f t="shared" si="119"/>
        <v>#N/A</v>
      </c>
      <c r="H433" s="112" t="b">
        <f t="shared" si="125"/>
        <v>0</v>
      </c>
      <c r="I433" s="112" t="e">
        <f t="shared" si="120"/>
        <v>#N/A</v>
      </c>
      <c r="J433" s="112" t="e">
        <f t="shared" si="121"/>
        <v>#N/A</v>
      </c>
      <c r="K433" s="112" t="b">
        <f t="shared" si="122"/>
        <v>0</v>
      </c>
      <c r="L433" s="112">
        <v>29</v>
      </c>
      <c r="M433" s="112" t="str">
        <f t="shared" si="123"/>
        <v/>
      </c>
      <c r="N433" s="112" t="str">
        <f>IF(AND(ISNUMBER(Beta!F38),($AB$6-$AB$7)&gt;0),Beta!F38,"")</f>
        <v/>
      </c>
      <c r="O433" s="112" t="str">
        <f t="shared" si="124"/>
        <v/>
      </c>
      <c r="P433" s="112"/>
      <c r="Q433" s="112"/>
      <c r="R433" s="112"/>
      <c r="S433" s="112"/>
      <c r="T433" s="112"/>
      <c r="U433" s="112"/>
      <c r="V433" s="209"/>
      <c r="W433" s="209"/>
      <c r="X433" s="209"/>
      <c r="Y433" s="112"/>
      <c r="AA433" s="112"/>
      <c r="AB433" s="112"/>
      <c r="AP433" s="112"/>
      <c r="AQ433" s="112"/>
      <c r="AR433" s="112"/>
      <c r="AS433" s="112"/>
      <c r="AT433" s="112"/>
      <c r="AU433" s="112"/>
    </row>
    <row r="434" spans="2:47" hidden="1" x14ac:dyDescent="0.2">
      <c r="B434" s="112"/>
      <c r="C434" s="112"/>
      <c r="D434" s="112" t="b">
        <f t="shared" si="117"/>
        <v>0</v>
      </c>
      <c r="E434" s="1" t="e">
        <f t="shared" si="114"/>
        <v>#N/A</v>
      </c>
      <c r="F434" s="112" t="e">
        <f t="shared" si="118"/>
        <v>#N/A</v>
      </c>
      <c r="G434" s="112" t="e">
        <f t="shared" si="119"/>
        <v>#N/A</v>
      </c>
      <c r="H434" s="112" t="b">
        <f t="shared" si="125"/>
        <v>0</v>
      </c>
      <c r="I434" s="112" t="e">
        <f t="shared" si="120"/>
        <v>#N/A</v>
      </c>
      <c r="J434" s="112" t="e">
        <f t="shared" si="121"/>
        <v>#N/A</v>
      </c>
      <c r="K434" s="112" t="b">
        <f t="shared" si="122"/>
        <v>0</v>
      </c>
      <c r="L434" s="112">
        <v>30</v>
      </c>
      <c r="M434" s="112" t="str">
        <f t="shared" si="123"/>
        <v/>
      </c>
      <c r="N434" s="112" t="str">
        <f>IF(AND(ISNUMBER(Beta!F39),($AB$6-$AB$7)&gt;0),Beta!F39,"")</f>
        <v/>
      </c>
      <c r="O434" s="112" t="str">
        <f t="shared" si="124"/>
        <v/>
      </c>
      <c r="P434" s="112"/>
      <c r="Q434" s="112"/>
      <c r="R434" s="112"/>
      <c r="S434" s="112"/>
      <c r="T434" s="112"/>
      <c r="U434" s="112"/>
      <c r="V434" s="209"/>
      <c r="W434" s="209"/>
      <c r="X434" s="209"/>
      <c r="Y434" s="112"/>
      <c r="AA434" s="112"/>
      <c r="AB434" s="112"/>
      <c r="AP434" s="112"/>
      <c r="AQ434" s="112"/>
      <c r="AR434" s="112"/>
      <c r="AS434" s="112"/>
      <c r="AT434" s="112"/>
      <c r="AU434" s="112"/>
    </row>
    <row r="435" spans="2:47" hidden="1" x14ac:dyDescent="0.2">
      <c r="B435" s="112"/>
      <c r="C435" s="112"/>
      <c r="D435" s="112" t="b">
        <f t="shared" si="117"/>
        <v>0</v>
      </c>
      <c r="E435" s="1" t="e">
        <f t="shared" si="114"/>
        <v>#N/A</v>
      </c>
      <c r="F435" s="112" t="e">
        <f t="shared" si="118"/>
        <v>#N/A</v>
      </c>
      <c r="G435" s="112" t="e">
        <f t="shared" si="119"/>
        <v>#N/A</v>
      </c>
      <c r="H435" s="112" t="b">
        <f t="shared" si="125"/>
        <v>0</v>
      </c>
      <c r="I435" s="112" t="e">
        <f t="shared" si="120"/>
        <v>#N/A</v>
      </c>
      <c r="J435" s="112" t="e">
        <f t="shared" si="121"/>
        <v>#N/A</v>
      </c>
      <c r="K435" s="112" t="b">
        <f t="shared" si="122"/>
        <v>0</v>
      </c>
      <c r="L435" s="112">
        <v>31</v>
      </c>
      <c r="M435" s="112" t="str">
        <f t="shared" si="123"/>
        <v/>
      </c>
      <c r="N435" s="112" t="str">
        <f>IF(AND(ISNUMBER(Beta!F40),($AB$6-$AB$7)&gt;0),Beta!F40,"")</f>
        <v/>
      </c>
      <c r="O435" s="112" t="str">
        <f t="shared" si="124"/>
        <v/>
      </c>
      <c r="P435" s="112"/>
      <c r="Q435" s="112"/>
      <c r="R435" s="112"/>
      <c r="S435" s="112"/>
      <c r="T435" s="112"/>
      <c r="U435" s="112"/>
      <c r="V435" s="209"/>
      <c r="W435" s="209"/>
      <c r="X435" s="209"/>
      <c r="Y435" s="112"/>
      <c r="AA435" s="112"/>
      <c r="AB435" s="112"/>
      <c r="AP435" s="112"/>
      <c r="AQ435" s="112"/>
      <c r="AR435" s="112"/>
      <c r="AS435" s="112"/>
      <c r="AT435" s="112"/>
      <c r="AU435" s="112"/>
    </row>
    <row r="436" spans="2:47" hidden="1" x14ac:dyDescent="0.2">
      <c r="B436" s="112"/>
      <c r="C436" s="112"/>
      <c r="D436" s="112" t="b">
        <f t="shared" si="117"/>
        <v>0</v>
      </c>
      <c r="E436" s="1" t="e">
        <f t="shared" si="114"/>
        <v>#N/A</v>
      </c>
      <c r="F436" s="112" t="e">
        <f t="shared" si="118"/>
        <v>#N/A</v>
      </c>
      <c r="G436" s="112" t="e">
        <f t="shared" si="119"/>
        <v>#N/A</v>
      </c>
      <c r="H436" s="112" t="b">
        <f t="shared" si="125"/>
        <v>0</v>
      </c>
      <c r="I436" s="112" t="e">
        <f t="shared" si="120"/>
        <v>#N/A</v>
      </c>
      <c r="J436" s="112" t="e">
        <f t="shared" si="121"/>
        <v>#N/A</v>
      </c>
      <c r="K436" s="112" t="b">
        <f t="shared" si="122"/>
        <v>0</v>
      </c>
      <c r="L436" s="112">
        <v>32</v>
      </c>
      <c r="M436" s="112" t="str">
        <f t="shared" si="123"/>
        <v/>
      </c>
      <c r="N436" s="112" t="str">
        <f>IF(AND(ISNUMBER(Beta!F41),($AB$6-$AB$7)&gt;0),Beta!F41,"")</f>
        <v/>
      </c>
      <c r="O436" s="112" t="str">
        <f t="shared" si="124"/>
        <v/>
      </c>
      <c r="P436" s="112"/>
      <c r="Q436" s="112"/>
      <c r="R436" s="112"/>
      <c r="S436" s="112"/>
      <c r="T436" s="112"/>
      <c r="U436" s="112"/>
      <c r="V436" s="209"/>
      <c r="W436" s="209"/>
      <c r="X436" s="209"/>
      <c r="Y436" s="112"/>
      <c r="AA436" s="112"/>
      <c r="AB436" s="112"/>
      <c r="AP436" s="112"/>
      <c r="AQ436" s="112"/>
      <c r="AR436" s="112"/>
      <c r="AS436" s="112"/>
      <c r="AT436" s="112"/>
      <c r="AU436" s="112"/>
    </row>
    <row r="437" spans="2:47" hidden="1" x14ac:dyDescent="0.2">
      <c r="B437" s="112"/>
      <c r="C437" s="112"/>
      <c r="D437" s="112" t="b">
        <f t="shared" si="117"/>
        <v>0</v>
      </c>
      <c r="E437" s="1" t="e">
        <f t="shared" ref="E437:E454" si="126">VLOOKUP(D437,$D$312:$BA$337,($AB$6-$AB$7),FALSE)</f>
        <v>#N/A</v>
      </c>
      <c r="F437" s="112" t="e">
        <f t="shared" si="118"/>
        <v>#N/A</v>
      </c>
      <c r="G437" s="112" t="e">
        <f t="shared" si="119"/>
        <v>#N/A</v>
      </c>
      <c r="H437" s="112" t="b">
        <f t="shared" si="125"/>
        <v>0</v>
      </c>
      <c r="I437" s="112" t="e">
        <f t="shared" si="120"/>
        <v>#N/A</v>
      </c>
      <c r="J437" s="112" t="e">
        <f t="shared" si="121"/>
        <v>#N/A</v>
      </c>
      <c r="K437" s="112" t="b">
        <f t="shared" si="122"/>
        <v>0</v>
      </c>
      <c r="L437" s="112">
        <v>33</v>
      </c>
      <c r="M437" s="112" t="str">
        <f t="shared" si="123"/>
        <v/>
      </c>
      <c r="N437" s="112" t="str">
        <f>IF(AND(ISNUMBER(Beta!F42),($AB$6-$AB$7)&gt;0),Beta!F42,"")</f>
        <v/>
      </c>
      <c r="O437" s="112" t="str">
        <f t="shared" si="124"/>
        <v/>
      </c>
      <c r="P437" s="112"/>
      <c r="Q437" s="112"/>
      <c r="R437" s="112"/>
      <c r="S437" s="112"/>
      <c r="T437" s="112"/>
      <c r="U437" s="112"/>
      <c r="V437" s="209"/>
      <c r="W437" s="209"/>
      <c r="X437" s="209"/>
      <c r="Y437" s="112"/>
      <c r="AA437" s="112"/>
      <c r="AB437" s="112"/>
      <c r="AP437" s="112"/>
      <c r="AQ437" s="112"/>
      <c r="AR437" s="112"/>
      <c r="AS437" s="112"/>
      <c r="AT437" s="112"/>
      <c r="AU437" s="112"/>
    </row>
    <row r="438" spans="2:47" hidden="1" x14ac:dyDescent="0.2">
      <c r="B438" s="112"/>
      <c r="C438" s="112"/>
      <c r="D438" s="112" t="b">
        <f t="shared" si="117"/>
        <v>0</v>
      </c>
      <c r="E438" s="1" t="e">
        <f t="shared" si="126"/>
        <v>#N/A</v>
      </c>
      <c r="F438" s="112" t="e">
        <f t="shared" si="118"/>
        <v>#N/A</v>
      </c>
      <c r="G438" s="112" t="e">
        <f t="shared" si="119"/>
        <v>#N/A</v>
      </c>
      <c r="H438" s="112" t="b">
        <f t="shared" si="125"/>
        <v>0</v>
      </c>
      <c r="I438" s="112" t="e">
        <f t="shared" si="120"/>
        <v>#N/A</v>
      </c>
      <c r="J438" s="112" t="e">
        <f t="shared" si="121"/>
        <v>#N/A</v>
      </c>
      <c r="K438" s="112" t="b">
        <f t="shared" si="122"/>
        <v>0</v>
      </c>
      <c r="L438" s="112">
        <v>34</v>
      </c>
      <c r="M438" s="112" t="str">
        <f t="shared" si="123"/>
        <v/>
      </c>
      <c r="N438" s="112" t="str">
        <f>IF(AND(ISNUMBER(Beta!F43),($AB$6-$AB$7)&gt;0),Beta!F43,"")</f>
        <v/>
      </c>
      <c r="O438" s="112" t="str">
        <f t="shared" si="124"/>
        <v/>
      </c>
      <c r="P438" s="112"/>
      <c r="Q438" s="112"/>
      <c r="R438" s="112"/>
      <c r="S438" s="112"/>
      <c r="T438" s="112"/>
      <c r="U438" s="112"/>
      <c r="V438" s="209"/>
      <c r="W438" s="209"/>
      <c r="X438" s="209"/>
      <c r="Y438" s="112"/>
      <c r="AA438" s="112"/>
      <c r="AB438" s="112"/>
      <c r="AP438" s="112"/>
      <c r="AQ438" s="112"/>
      <c r="AR438" s="112"/>
      <c r="AS438" s="112"/>
      <c r="AT438" s="112"/>
      <c r="AU438" s="112"/>
    </row>
    <row r="439" spans="2:47" hidden="1" x14ac:dyDescent="0.2">
      <c r="B439" s="112"/>
      <c r="C439" s="112"/>
      <c r="D439" s="112" t="b">
        <f t="shared" si="117"/>
        <v>0</v>
      </c>
      <c r="E439" s="1" t="e">
        <f t="shared" si="126"/>
        <v>#N/A</v>
      </c>
      <c r="F439" s="112" t="e">
        <f t="shared" si="118"/>
        <v>#N/A</v>
      </c>
      <c r="G439" s="112" t="e">
        <f t="shared" si="119"/>
        <v>#N/A</v>
      </c>
      <c r="H439" s="112" t="b">
        <f t="shared" si="125"/>
        <v>0</v>
      </c>
      <c r="I439" s="112" t="e">
        <f t="shared" si="120"/>
        <v>#N/A</v>
      </c>
      <c r="J439" s="112" t="e">
        <f t="shared" si="121"/>
        <v>#N/A</v>
      </c>
      <c r="K439" s="112" t="b">
        <f t="shared" si="122"/>
        <v>0</v>
      </c>
      <c r="L439" s="112">
        <v>35</v>
      </c>
      <c r="M439" s="112" t="str">
        <f t="shared" si="123"/>
        <v/>
      </c>
      <c r="N439" s="112" t="str">
        <f>IF(AND(ISNUMBER(Beta!F44),($AB$6-$AB$7)&gt;0),Beta!F44,"")</f>
        <v/>
      </c>
      <c r="O439" s="112" t="str">
        <f t="shared" si="124"/>
        <v/>
      </c>
      <c r="P439" s="112"/>
      <c r="Q439" s="112"/>
      <c r="R439" s="112"/>
      <c r="S439" s="112"/>
      <c r="T439" s="112"/>
      <c r="U439" s="112"/>
      <c r="V439" s="209"/>
      <c r="W439" s="209"/>
      <c r="X439" s="209"/>
      <c r="Y439" s="112"/>
      <c r="AA439" s="112"/>
      <c r="AB439" s="112"/>
      <c r="AP439" s="112"/>
      <c r="AQ439" s="112"/>
      <c r="AR439" s="112"/>
      <c r="AS439" s="112"/>
      <c r="AT439" s="112"/>
      <c r="AU439" s="112"/>
    </row>
    <row r="440" spans="2:47" hidden="1" x14ac:dyDescent="0.2">
      <c r="B440" s="112"/>
      <c r="C440" s="112"/>
      <c r="D440" s="112" t="b">
        <f t="shared" si="117"/>
        <v>0</v>
      </c>
      <c r="E440" s="1" t="e">
        <f t="shared" si="126"/>
        <v>#N/A</v>
      </c>
      <c r="F440" s="112" t="e">
        <f t="shared" si="118"/>
        <v>#N/A</v>
      </c>
      <c r="G440" s="112" t="e">
        <f t="shared" si="119"/>
        <v>#N/A</v>
      </c>
      <c r="H440" s="112" t="b">
        <f t="shared" si="125"/>
        <v>0</v>
      </c>
      <c r="I440" s="112" t="e">
        <f t="shared" si="120"/>
        <v>#N/A</v>
      </c>
      <c r="J440" s="112" t="e">
        <f t="shared" si="121"/>
        <v>#N/A</v>
      </c>
      <c r="K440" s="112" t="b">
        <f t="shared" si="122"/>
        <v>0</v>
      </c>
      <c r="L440" s="112">
        <v>36</v>
      </c>
      <c r="M440" s="112" t="str">
        <f t="shared" si="123"/>
        <v/>
      </c>
      <c r="N440" s="112" t="str">
        <f>IF(AND(ISNUMBER(Beta!F45),($AB$6-$AB$7)&gt;0),Beta!F45,"")</f>
        <v/>
      </c>
      <c r="O440" s="112" t="str">
        <f t="shared" si="124"/>
        <v/>
      </c>
      <c r="P440" s="112"/>
      <c r="Q440" s="112"/>
      <c r="R440" s="112"/>
      <c r="S440" s="112"/>
      <c r="T440" s="112"/>
      <c r="U440" s="112"/>
      <c r="V440" s="209"/>
      <c r="W440" s="209"/>
      <c r="X440" s="209"/>
      <c r="Y440" s="112"/>
      <c r="AA440" s="112"/>
      <c r="AB440" s="112"/>
      <c r="AP440" s="112"/>
      <c r="AQ440" s="112"/>
      <c r="AR440" s="112"/>
      <c r="AS440" s="112"/>
      <c r="AT440" s="112"/>
      <c r="AU440" s="112"/>
    </row>
    <row r="441" spans="2:47" hidden="1" x14ac:dyDescent="0.2">
      <c r="B441" s="112"/>
      <c r="C441" s="112"/>
      <c r="D441" s="112" t="b">
        <f t="shared" si="117"/>
        <v>0</v>
      </c>
      <c r="E441" s="1" t="e">
        <f t="shared" si="126"/>
        <v>#N/A</v>
      </c>
      <c r="F441" s="112" t="e">
        <f t="shared" si="118"/>
        <v>#N/A</v>
      </c>
      <c r="G441" s="112" t="e">
        <f t="shared" si="119"/>
        <v>#N/A</v>
      </c>
      <c r="H441" s="112" t="b">
        <f t="shared" si="125"/>
        <v>0</v>
      </c>
      <c r="I441" s="112" t="e">
        <f t="shared" si="120"/>
        <v>#N/A</v>
      </c>
      <c r="J441" s="112" t="e">
        <f t="shared" si="121"/>
        <v>#N/A</v>
      </c>
      <c r="K441" s="112" t="b">
        <f t="shared" si="122"/>
        <v>0</v>
      </c>
      <c r="L441" s="112">
        <v>37</v>
      </c>
      <c r="M441" s="112" t="str">
        <f t="shared" si="123"/>
        <v/>
      </c>
      <c r="N441" s="112" t="str">
        <f>IF(AND(ISNUMBER(Beta!F46),($AB$6-$AB$7)&gt;0),Beta!F46,"")</f>
        <v/>
      </c>
      <c r="O441" s="112" t="str">
        <f t="shared" si="124"/>
        <v/>
      </c>
      <c r="P441" s="112"/>
      <c r="Q441" s="112"/>
      <c r="R441" s="112"/>
      <c r="S441" s="112"/>
      <c r="T441" s="112"/>
      <c r="U441" s="112"/>
      <c r="V441" s="209"/>
      <c r="W441" s="209"/>
      <c r="X441" s="209"/>
      <c r="Y441" s="112"/>
      <c r="AA441" s="112"/>
      <c r="AB441" s="112"/>
      <c r="AP441" s="112"/>
      <c r="AQ441" s="112"/>
      <c r="AR441" s="112"/>
      <c r="AS441" s="112"/>
      <c r="AT441" s="112"/>
      <c r="AU441" s="112"/>
    </row>
    <row r="442" spans="2:47" hidden="1" x14ac:dyDescent="0.2">
      <c r="B442" s="112"/>
      <c r="C442" s="112"/>
      <c r="D442" s="112" t="b">
        <f t="shared" si="117"/>
        <v>0</v>
      </c>
      <c r="E442" s="1" t="e">
        <f t="shared" si="126"/>
        <v>#N/A</v>
      </c>
      <c r="F442" s="112" t="e">
        <f t="shared" si="118"/>
        <v>#N/A</v>
      </c>
      <c r="G442" s="112" t="e">
        <f t="shared" si="119"/>
        <v>#N/A</v>
      </c>
      <c r="H442" s="112" t="b">
        <f t="shared" si="125"/>
        <v>0</v>
      </c>
      <c r="I442" s="112" t="e">
        <f t="shared" si="120"/>
        <v>#N/A</v>
      </c>
      <c r="J442" s="112" t="e">
        <f t="shared" si="121"/>
        <v>#N/A</v>
      </c>
      <c r="K442" s="112" t="b">
        <f t="shared" si="122"/>
        <v>0</v>
      </c>
      <c r="L442" s="112">
        <v>38</v>
      </c>
      <c r="M442" s="112" t="str">
        <f t="shared" si="123"/>
        <v/>
      </c>
      <c r="N442" s="112" t="str">
        <f>IF(AND(ISNUMBER(Beta!F47),($AB$6-$AB$7)&gt;0),Beta!F47,"")</f>
        <v/>
      </c>
      <c r="O442" s="112" t="str">
        <f t="shared" si="124"/>
        <v/>
      </c>
      <c r="P442" s="112"/>
      <c r="Q442" s="112"/>
      <c r="R442" s="112"/>
      <c r="S442" s="112"/>
      <c r="T442" s="112"/>
      <c r="U442" s="112"/>
      <c r="V442" s="209"/>
      <c r="W442" s="209"/>
      <c r="X442" s="209"/>
      <c r="Y442" s="112"/>
      <c r="AA442" s="112"/>
      <c r="AB442" s="112"/>
      <c r="AP442" s="112"/>
      <c r="AQ442" s="112"/>
      <c r="AR442" s="112"/>
      <c r="AS442" s="112"/>
      <c r="AT442" s="112"/>
      <c r="AU442" s="112"/>
    </row>
    <row r="443" spans="2:47" hidden="1" x14ac:dyDescent="0.2">
      <c r="B443" s="112"/>
      <c r="C443" s="112"/>
      <c r="D443" s="112" t="b">
        <f t="shared" si="117"/>
        <v>0</v>
      </c>
      <c r="E443" s="1" t="e">
        <f t="shared" si="126"/>
        <v>#N/A</v>
      </c>
      <c r="F443" s="112" t="e">
        <f t="shared" si="118"/>
        <v>#N/A</v>
      </c>
      <c r="G443" s="112" t="e">
        <f t="shared" si="119"/>
        <v>#N/A</v>
      </c>
      <c r="H443" s="112" t="b">
        <f t="shared" si="125"/>
        <v>0</v>
      </c>
      <c r="I443" s="112" t="e">
        <f t="shared" si="120"/>
        <v>#N/A</v>
      </c>
      <c r="J443" s="112" t="e">
        <f t="shared" si="121"/>
        <v>#N/A</v>
      </c>
      <c r="K443" s="112" t="b">
        <f t="shared" si="122"/>
        <v>0</v>
      </c>
      <c r="L443" s="112">
        <v>39</v>
      </c>
      <c r="M443" s="112" t="str">
        <f t="shared" si="123"/>
        <v/>
      </c>
      <c r="N443" s="112" t="str">
        <f>IF(AND(ISNUMBER(Beta!F48),($AB$6-$AB$7)&gt;0),Beta!F48,"")</f>
        <v/>
      </c>
      <c r="O443" s="112" t="str">
        <f t="shared" si="124"/>
        <v/>
      </c>
      <c r="P443" s="112"/>
      <c r="Q443" s="112"/>
      <c r="R443" s="112"/>
      <c r="S443" s="112"/>
      <c r="T443" s="112"/>
      <c r="U443" s="112"/>
      <c r="V443" s="209"/>
      <c r="W443" s="209"/>
      <c r="X443" s="209"/>
      <c r="Y443" s="112"/>
      <c r="AA443" s="112"/>
      <c r="AB443" s="112"/>
      <c r="AP443" s="112"/>
      <c r="AQ443" s="112"/>
      <c r="AR443" s="112"/>
      <c r="AS443" s="112"/>
      <c r="AT443" s="112"/>
      <c r="AU443" s="112"/>
    </row>
    <row r="444" spans="2:47" hidden="1" x14ac:dyDescent="0.2">
      <c r="B444" s="112"/>
      <c r="C444" s="112"/>
      <c r="D444" s="112" t="b">
        <f t="shared" si="117"/>
        <v>0</v>
      </c>
      <c r="E444" s="1" t="e">
        <f t="shared" si="126"/>
        <v>#N/A</v>
      </c>
      <c r="F444" s="112" t="e">
        <f t="shared" si="118"/>
        <v>#N/A</v>
      </c>
      <c r="G444" s="112" t="e">
        <f t="shared" si="119"/>
        <v>#N/A</v>
      </c>
      <c r="H444" s="112" t="b">
        <f t="shared" si="125"/>
        <v>0</v>
      </c>
      <c r="I444" s="112" t="e">
        <f t="shared" si="120"/>
        <v>#N/A</v>
      </c>
      <c r="J444" s="112" t="e">
        <f t="shared" si="121"/>
        <v>#N/A</v>
      </c>
      <c r="K444" s="112" t="b">
        <f t="shared" si="122"/>
        <v>0</v>
      </c>
      <c r="L444" s="112">
        <v>40</v>
      </c>
      <c r="M444" s="112" t="str">
        <f t="shared" si="123"/>
        <v/>
      </c>
      <c r="N444" s="112" t="str">
        <f>IF(AND(ISNUMBER(Beta!F49),($AB$6-$AB$7)&gt;0),Beta!F49,"")</f>
        <v/>
      </c>
      <c r="O444" s="112" t="str">
        <f t="shared" si="124"/>
        <v/>
      </c>
      <c r="P444" s="112"/>
      <c r="Q444" s="112"/>
      <c r="R444" s="112"/>
      <c r="S444" s="112"/>
      <c r="T444" s="112"/>
      <c r="U444" s="112"/>
      <c r="V444" s="209"/>
      <c r="W444" s="209"/>
      <c r="X444" s="209"/>
      <c r="Y444" s="112"/>
      <c r="AA444" s="112"/>
      <c r="AB444" s="112"/>
      <c r="AP444" s="112"/>
      <c r="AQ444" s="112"/>
      <c r="AR444" s="112"/>
      <c r="AS444" s="112"/>
      <c r="AT444" s="112"/>
      <c r="AU444" s="112"/>
    </row>
    <row r="445" spans="2:47" hidden="1" x14ac:dyDescent="0.2">
      <c r="B445" s="112"/>
      <c r="C445" s="112"/>
      <c r="D445" s="112" t="b">
        <f t="shared" si="117"/>
        <v>0</v>
      </c>
      <c r="E445" s="1" t="e">
        <f t="shared" si="126"/>
        <v>#N/A</v>
      </c>
      <c r="F445" s="112" t="e">
        <f t="shared" si="118"/>
        <v>#N/A</v>
      </c>
      <c r="G445" s="112" t="e">
        <f t="shared" si="119"/>
        <v>#N/A</v>
      </c>
      <c r="H445" s="112" t="b">
        <f t="shared" si="125"/>
        <v>0</v>
      </c>
      <c r="I445" s="112" t="e">
        <f t="shared" si="120"/>
        <v>#N/A</v>
      </c>
      <c r="J445" s="112" t="e">
        <f t="shared" si="121"/>
        <v>#N/A</v>
      </c>
      <c r="K445" s="112" t="b">
        <f t="shared" si="122"/>
        <v>0</v>
      </c>
      <c r="L445" s="112">
        <v>41</v>
      </c>
      <c r="M445" s="112" t="str">
        <f t="shared" si="123"/>
        <v/>
      </c>
      <c r="N445" s="112" t="str">
        <f>IF(AND(ISNUMBER(Beta!F50),($AB$6-$AB$7)&gt;0),Beta!F50,"")</f>
        <v/>
      </c>
      <c r="O445" s="112" t="str">
        <f t="shared" si="124"/>
        <v/>
      </c>
      <c r="P445" s="112"/>
      <c r="Q445" s="112"/>
      <c r="R445" s="112"/>
      <c r="S445" s="112"/>
      <c r="T445" s="112"/>
      <c r="U445" s="112"/>
      <c r="V445" s="209"/>
      <c r="W445" s="209"/>
      <c r="X445" s="209"/>
      <c r="Y445" s="112"/>
      <c r="AA445" s="112"/>
      <c r="AB445" s="112"/>
      <c r="AP445" s="112"/>
      <c r="AQ445" s="112"/>
      <c r="AR445" s="112"/>
      <c r="AS445" s="112"/>
      <c r="AT445" s="112"/>
      <c r="AU445" s="112"/>
    </row>
    <row r="446" spans="2:47" hidden="1" x14ac:dyDescent="0.2">
      <c r="B446" s="112"/>
      <c r="C446" s="112"/>
      <c r="D446" s="112" t="b">
        <f t="shared" si="117"/>
        <v>0</v>
      </c>
      <c r="E446" s="1" t="e">
        <f t="shared" si="126"/>
        <v>#N/A</v>
      </c>
      <c r="F446" s="112" t="e">
        <f t="shared" si="118"/>
        <v>#N/A</v>
      </c>
      <c r="G446" s="112" t="e">
        <f t="shared" si="119"/>
        <v>#N/A</v>
      </c>
      <c r="H446" s="112" t="b">
        <f t="shared" si="125"/>
        <v>0</v>
      </c>
      <c r="I446" s="112" t="e">
        <f t="shared" si="120"/>
        <v>#N/A</v>
      </c>
      <c r="J446" s="112" t="e">
        <f t="shared" si="121"/>
        <v>#N/A</v>
      </c>
      <c r="K446" s="112" t="b">
        <f t="shared" si="122"/>
        <v>0</v>
      </c>
      <c r="L446" s="112">
        <v>42</v>
      </c>
      <c r="M446" s="112" t="str">
        <f t="shared" si="123"/>
        <v/>
      </c>
      <c r="N446" s="112" t="str">
        <f>IF(AND(ISNUMBER(Beta!F51),($AB$6-$AB$7)&gt;0),Beta!F51,"")</f>
        <v/>
      </c>
      <c r="O446" s="112" t="str">
        <f t="shared" si="124"/>
        <v/>
      </c>
      <c r="P446" s="112"/>
      <c r="Q446" s="112"/>
      <c r="R446" s="112"/>
      <c r="S446" s="112"/>
      <c r="T446" s="112"/>
      <c r="U446" s="112"/>
      <c r="V446" s="209"/>
      <c r="W446" s="209"/>
      <c r="X446" s="209"/>
      <c r="Y446" s="112"/>
      <c r="AA446" s="112"/>
      <c r="AB446" s="112"/>
      <c r="AP446" s="112"/>
      <c r="AQ446" s="112"/>
      <c r="AR446" s="112"/>
      <c r="AS446" s="112"/>
      <c r="AT446" s="112"/>
      <c r="AU446" s="112"/>
    </row>
    <row r="447" spans="2:47" hidden="1" x14ac:dyDescent="0.2">
      <c r="B447" s="112"/>
      <c r="C447" s="112"/>
      <c r="D447" s="112" t="b">
        <f t="shared" si="117"/>
        <v>0</v>
      </c>
      <c r="E447" s="1" t="e">
        <f t="shared" si="126"/>
        <v>#N/A</v>
      </c>
      <c r="F447" s="112" t="e">
        <f t="shared" si="118"/>
        <v>#N/A</v>
      </c>
      <c r="G447" s="112" t="e">
        <f t="shared" si="119"/>
        <v>#N/A</v>
      </c>
      <c r="H447" s="112" t="b">
        <f t="shared" si="125"/>
        <v>0</v>
      </c>
      <c r="I447" s="112" t="e">
        <f t="shared" si="120"/>
        <v>#N/A</v>
      </c>
      <c r="J447" s="112" t="e">
        <f t="shared" si="121"/>
        <v>#N/A</v>
      </c>
      <c r="K447" s="112" t="b">
        <f t="shared" si="122"/>
        <v>0</v>
      </c>
      <c r="L447" s="112">
        <v>43</v>
      </c>
      <c r="M447" s="112" t="str">
        <f t="shared" si="123"/>
        <v/>
      </c>
      <c r="N447" s="112" t="str">
        <f>IF(AND(ISNUMBER(Beta!F52),($AB$6-$AB$7)&gt;0),Beta!F52,"")</f>
        <v/>
      </c>
      <c r="O447" s="112" t="str">
        <f t="shared" si="124"/>
        <v/>
      </c>
      <c r="P447" s="112"/>
      <c r="Q447" s="112"/>
      <c r="R447" s="112"/>
      <c r="S447" s="112"/>
      <c r="T447" s="112"/>
      <c r="U447" s="112"/>
      <c r="V447" s="209"/>
      <c r="W447" s="209"/>
      <c r="X447" s="209"/>
      <c r="Y447" s="112"/>
      <c r="AA447" s="112"/>
      <c r="AB447" s="112"/>
      <c r="AP447" s="112"/>
      <c r="AQ447" s="112"/>
      <c r="AR447" s="112"/>
      <c r="AS447" s="112"/>
      <c r="AT447" s="112"/>
      <c r="AU447" s="112"/>
    </row>
    <row r="448" spans="2:47" hidden="1" x14ac:dyDescent="0.2">
      <c r="B448" s="112"/>
      <c r="C448" s="112"/>
      <c r="D448" s="112" t="b">
        <f t="shared" si="117"/>
        <v>0</v>
      </c>
      <c r="E448" s="1" t="e">
        <f t="shared" si="126"/>
        <v>#N/A</v>
      </c>
      <c r="F448" s="112" t="e">
        <f t="shared" si="118"/>
        <v>#N/A</v>
      </c>
      <c r="G448" s="112" t="e">
        <f t="shared" si="119"/>
        <v>#N/A</v>
      </c>
      <c r="H448" s="112" t="b">
        <f t="shared" si="125"/>
        <v>0</v>
      </c>
      <c r="I448" s="112" t="e">
        <f t="shared" si="120"/>
        <v>#N/A</v>
      </c>
      <c r="J448" s="112" t="e">
        <f t="shared" si="121"/>
        <v>#N/A</v>
      </c>
      <c r="K448" s="112" t="b">
        <f t="shared" si="122"/>
        <v>0</v>
      </c>
      <c r="L448" s="112">
        <v>44</v>
      </c>
      <c r="M448" s="112" t="str">
        <f t="shared" si="123"/>
        <v/>
      </c>
      <c r="N448" s="112" t="str">
        <f>IF(AND(ISNUMBER(Beta!F53),($AB$6-$AB$7)&gt;0),Beta!F53,"")</f>
        <v/>
      </c>
      <c r="O448" s="112" t="str">
        <f t="shared" si="124"/>
        <v/>
      </c>
      <c r="P448" s="112"/>
      <c r="Q448" s="112"/>
      <c r="R448" s="112"/>
      <c r="S448" s="112"/>
      <c r="T448" s="112"/>
      <c r="U448" s="112"/>
      <c r="V448" s="209"/>
      <c r="W448" s="209"/>
      <c r="X448" s="209"/>
      <c r="Y448" s="112"/>
      <c r="AA448" s="112"/>
      <c r="AB448" s="112"/>
      <c r="AP448" s="112"/>
      <c r="AQ448" s="112"/>
      <c r="AR448" s="112"/>
      <c r="AS448" s="112"/>
      <c r="AT448" s="112"/>
      <c r="AU448" s="112"/>
    </row>
    <row r="449" spans="2:47" hidden="1" x14ac:dyDescent="0.2">
      <c r="B449" s="112"/>
      <c r="C449" s="112"/>
      <c r="D449" s="112" t="b">
        <f t="shared" si="117"/>
        <v>0</v>
      </c>
      <c r="E449" s="1" t="e">
        <f t="shared" si="126"/>
        <v>#N/A</v>
      </c>
      <c r="F449" s="112" t="e">
        <f t="shared" si="118"/>
        <v>#N/A</v>
      </c>
      <c r="G449" s="112" t="e">
        <f t="shared" si="119"/>
        <v>#N/A</v>
      </c>
      <c r="H449" s="112" t="b">
        <f t="shared" si="125"/>
        <v>0</v>
      </c>
      <c r="I449" s="112" t="e">
        <f t="shared" si="120"/>
        <v>#N/A</v>
      </c>
      <c r="J449" s="112" t="e">
        <f t="shared" si="121"/>
        <v>#N/A</v>
      </c>
      <c r="K449" s="112" t="b">
        <f t="shared" si="122"/>
        <v>0</v>
      </c>
      <c r="L449" s="112">
        <v>45</v>
      </c>
      <c r="M449" s="112" t="str">
        <f t="shared" si="123"/>
        <v/>
      </c>
      <c r="N449" s="112" t="str">
        <f>IF(AND(ISNUMBER(Beta!F54),($AB$6-$AB$7)&gt;0),Beta!F54,"")</f>
        <v/>
      </c>
      <c r="O449" s="112" t="str">
        <f t="shared" si="124"/>
        <v/>
      </c>
      <c r="P449" s="112"/>
      <c r="Q449" s="112"/>
      <c r="R449" s="112"/>
      <c r="S449" s="112"/>
      <c r="T449" s="112"/>
      <c r="U449" s="112"/>
      <c r="V449" s="209"/>
      <c r="W449" s="209"/>
      <c r="X449" s="209"/>
      <c r="Y449" s="112"/>
      <c r="AA449" s="112"/>
      <c r="AB449" s="112"/>
      <c r="AP449" s="112"/>
      <c r="AQ449" s="112"/>
      <c r="AR449" s="112"/>
      <c r="AS449" s="112"/>
      <c r="AT449" s="112"/>
      <c r="AU449" s="112"/>
    </row>
    <row r="450" spans="2:47" hidden="1" x14ac:dyDescent="0.2">
      <c r="B450" s="112"/>
      <c r="C450" s="112"/>
      <c r="D450" s="112" t="b">
        <f t="shared" si="117"/>
        <v>0</v>
      </c>
      <c r="E450" s="1" t="e">
        <f t="shared" si="126"/>
        <v>#N/A</v>
      </c>
      <c r="F450" s="112" t="e">
        <f t="shared" si="118"/>
        <v>#N/A</v>
      </c>
      <c r="G450" s="112" t="e">
        <f t="shared" si="119"/>
        <v>#N/A</v>
      </c>
      <c r="H450" s="112" t="b">
        <f t="shared" si="125"/>
        <v>0</v>
      </c>
      <c r="I450" s="112" t="e">
        <f t="shared" si="120"/>
        <v>#N/A</v>
      </c>
      <c r="J450" s="112" t="e">
        <f t="shared" si="121"/>
        <v>#N/A</v>
      </c>
      <c r="K450" s="112" t="b">
        <f t="shared" si="122"/>
        <v>0</v>
      </c>
      <c r="L450" s="112">
        <v>46</v>
      </c>
      <c r="M450" s="112" t="str">
        <f t="shared" si="123"/>
        <v/>
      </c>
      <c r="N450" s="112" t="str">
        <f>IF(AND(ISNUMBER(Beta!F55),($AB$6-$AB$7)&gt;0),Beta!F55,"")</f>
        <v/>
      </c>
      <c r="O450" s="112" t="str">
        <f t="shared" si="124"/>
        <v/>
      </c>
      <c r="P450" s="112"/>
      <c r="Q450" s="112"/>
      <c r="R450" s="112"/>
      <c r="S450" s="112"/>
      <c r="T450" s="112"/>
      <c r="U450" s="112"/>
      <c r="V450" s="209"/>
      <c r="W450" s="209"/>
      <c r="X450" s="209"/>
      <c r="Y450" s="112"/>
      <c r="AA450" s="112"/>
      <c r="AB450" s="112"/>
      <c r="AP450" s="112"/>
      <c r="AQ450" s="112"/>
      <c r="AR450" s="112"/>
      <c r="AS450" s="112"/>
      <c r="AT450" s="112"/>
      <c r="AU450" s="112"/>
    </row>
    <row r="451" spans="2:47" hidden="1" x14ac:dyDescent="0.2">
      <c r="B451" s="112"/>
      <c r="C451" s="112"/>
      <c r="D451" s="112" t="b">
        <f t="shared" si="117"/>
        <v>0</v>
      </c>
      <c r="E451" s="1" t="e">
        <f t="shared" si="126"/>
        <v>#N/A</v>
      </c>
      <c r="F451" s="112" t="e">
        <f t="shared" si="118"/>
        <v>#N/A</v>
      </c>
      <c r="G451" s="112" t="e">
        <f t="shared" si="119"/>
        <v>#N/A</v>
      </c>
      <c r="H451" s="112" t="b">
        <f t="shared" si="125"/>
        <v>0</v>
      </c>
      <c r="I451" s="112" t="e">
        <f t="shared" si="120"/>
        <v>#N/A</v>
      </c>
      <c r="J451" s="112" t="e">
        <f t="shared" si="121"/>
        <v>#N/A</v>
      </c>
      <c r="K451" s="112" t="b">
        <f t="shared" si="122"/>
        <v>0</v>
      </c>
      <c r="L451" s="112">
        <v>47</v>
      </c>
      <c r="M451" s="112" t="str">
        <f t="shared" si="123"/>
        <v/>
      </c>
      <c r="N451" s="112" t="str">
        <f>IF(AND(ISNUMBER(Beta!F56),($AB$6-$AB$7)&gt;0),Beta!F56,"")</f>
        <v/>
      </c>
      <c r="O451" s="112" t="str">
        <f t="shared" si="124"/>
        <v/>
      </c>
      <c r="P451" s="112"/>
      <c r="Q451" s="112"/>
      <c r="R451" s="112"/>
      <c r="S451" s="112"/>
      <c r="T451" s="112"/>
      <c r="U451" s="112"/>
      <c r="V451" s="209"/>
      <c r="W451" s="209"/>
      <c r="X451" s="209"/>
      <c r="Y451" s="112"/>
      <c r="AA451" s="112"/>
      <c r="AB451" s="112"/>
      <c r="AP451" s="112"/>
      <c r="AQ451" s="112"/>
      <c r="AR451" s="112"/>
      <c r="AS451" s="112"/>
      <c r="AT451" s="112"/>
      <c r="AU451" s="112"/>
    </row>
    <row r="452" spans="2:47" hidden="1" x14ac:dyDescent="0.2">
      <c r="B452" s="112"/>
      <c r="C452" s="112"/>
      <c r="D452" s="112" t="b">
        <f t="shared" si="117"/>
        <v>0</v>
      </c>
      <c r="E452" s="1" t="e">
        <f t="shared" si="126"/>
        <v>#N/A</v>
      </c>
      <c r="F452" s="112" t="e">
        <f t="shared" si="118"/>
        <v>#N/A</v>
      </c>
      <c r="G452" s="112" t="e">
        <f t="shared" si="119"/>
        <v>#N/A</v>
      </c>
      <c r="H452" s="112" t="b">
        <f t="shared" si="125"/>
        <v>0</v>
      </c>
      <c r="I452" s="112" t="e">
        <f t="shared" si="120"/>
        <v>#N/A</v>
      </c>
      <c r="J452" s="112" t="e">
        <f t="shared" si="121"/>
        <v>#N/A</v>
      </c>
      <c r="K452" s="112" t="b">
        <f t="shared" si="122"/>
        <v>0</v>
      </c>
      <c r="L452" s="112">
        <v>48</v>
      </c>
      <c r="M452" s="112" t="str">
        <f t="shared" si="123"/>
        <v/>
      </c>
      <c r="N452" s="112" t="str">
        <f>IF(AND(ISNUMBER(Beta!F57),($AB$6-$AB$7)&gt;0),Beta!F57,"")</f>
        <v/>
      </c>
      <c r="O452" s="112" t="str">
        <f t="shared" si="124"/>
        <v/>
      </c>
      <c r="P452" s="112"/>
      <c r="Q452" s="112"/>
      <c r="R452" s="112"/>
      <c r="S452" s="112"/>
      <c r="T452" s="112"/>
      <c r="U452" s="112"/>
      <c r="V452" s="209"/>
      <c r="W452" s="209"/>
      <c r="X452" s="209"/>
      <c r="Y452" s="112"/>
      <c r="AA452" s="112"/>
      <c r="AB452" s="112"/>
      <c r="AP452" s="112"/>
      <c r="AQ452" s="112"/>
      <c r="AR452" s="112"/>
      <c r="AS452" s="112"/>
      <c r="AT452" s="112"/>
      <c r="AU452" s="112"/>
    </row>
    <row r="453" spans="2:47" hidden="1" x14ac:dyDescent="0.2">
      <c r="B453" s="112"/>
      <c r="C453" s="112"/>
      <c r="D453" s="112" t="b">
        <f t="shared" si="117"/>
        <v>0</v>
      </c>
      <c r="E453" s="1" t="e">
        <f t="shared" si="126"/>
        <v>#N/A</v>
      </c>
      <c r="F453" s="112" t="e">
        <f t="shared" si="118"/>
        <v>#N/A</v>
      </c>
      <c r="G453" s="112" t="e">
        <f t="shared" si="119"/>
        <v>#N/A</v>
      </c>
      <c r="H453" s="112" t="b">
        <f t="shared" si="125"/>
        <v>0</v>
      </c>
      <c r="I453" s="112" t="e">
        <f t="shared" si="120"/>
        <v>#N/A</v>
      </c>
      <c r="J453" s="112" t="e">
        <f t="shared" si="121"/>
        <v>#N/A</v>
      </c>
      <c r="K453" s="112" t="b">
        <f t="shared" si="122"/>
        <v>0</v>
      </c>
      <c r="L453" s="112">
        <v>49</v>
      </c>
      <c r="M453" s="112" t="str">
        <f t="shared" si="123"/>
        <v/>
      </c>
      <c r="N453" s="112" t="str">
        <f>IF(AND(ISNUMBER(Beta!F58),($AB$6-$AB$7)&gt;0),Beta!F58,"")</f>
        <v/>
      </c>
      <c r="O453" s="112" t="str">
        <f t="shared" si="124"/>
        <v/>
      </c>
      <c r="P453" s="112"/>
      <c r="Q453" s="112"/>
      <c r="R453" s="112"/>
      <c r="S453" s="112"/>
      <c r="T453" s="112"/>
      <c r="U453" s="112"/>
      <c r="V453" s="209"/>
      <c r="W453" s="209"/>
      <c r="X453" s="209"/>
      <c r="Y453" s="112"/>
      <c r="AA453" s="112"/>
      <c r="AB453" s="112"/>
      <c r="AP453" s="112"/>
      <c r="AQ453" s="112"/>
      <c r="AR453" s="112"/>
      <c r="AS453" s="112"/>
      <c r="AT453" s="112"/>
      <c r="AU453" s="112"/>
    </row>
    <row r="454" spans="2:47" hidden="1" x14ac:dyDescent="0.2">
      <c r="B454" s="112"/>
      <c r="C454" s="112"/>
      <c r="D454" s="112" t="b">
        <f t="shared" si="117"/>
        <v>0</v>
      </c>
      <c r="E454" s="1" t="e">
        <f t="shared" si="126"/>
        <v>#N/A</v>
      </c>
      <c r="F454" s="112" t="e">
        <f t="shared" si="118"/>
        <v>#N/A</v>
      </c>
      <c r="G454" s="112" t="e">
        <f t="shared" si="119"/>
        <v>#N/A</v>
      </c>
      <c r="H454" s="112" t="b">
        <f t="shared" si="125"/>
        <v>0</v>
      </c>
      <c r="I454" s="112" t="e">
        <f t="shared" si="120"/>
        <v>#N/A</v>
      </c>
      <c r="J454" s="112" t="e">
        <f t="shared" si="121"/>
        <v>#N/A</v>
      </c>
      <c r="K454" s="112" t="b">
        <f t="shared" si="122"/>
        <v>0</v>
      </c>
      <c r="L454" s="112">
        <v>50</v>
      </c>
      <c r="M454" s="112" t="str">
        <f t="shared" si="123"/>
        <v/>
      </c>
      <c r="N454" s="112" t="str">
        <f>IF(AND(ISNUMBER(Beta!F59),($AB$6-$AB$7)&gt;0),Beta!F59,"")</f>
        <v/>
      </c>
      <c r="O454" s="112" t="str">
        <f t="shared" si="124"/>
        <v/>
      </c>
      <c r="P454" s="112"/>
      <c r="Q454" s="112"/>
      <c r="R454" s="112"/>
      <c r="S454" s="112"/>
      <c r="T454" s="112"/>
      <c r="U454" s="112"/>
      <c r="V454" s="209"/>
      <c r="W454" s="209"/>
      <c r="X454" s="209"/>
      <c r="Y454" s="112"/>
      <c r="AA454" s="112"/>
      <c r="AB454" s="112"/>
      <c r="AP454" s="112"/>
      <c r="AQ454" s="112"/>
      <c r="AR454" s="112"/>
      <c r="AS454" s="112"/>
      <c r="AT454" s="112"/>
      <c r="AU454" s="112"/>
    </row>
    <row r="455" spans="2:47" hidden="1" x14ac:dyDescent="0.2">
      <c r="B455" s="112"/>
      <c r="C455" s="112"/>
      <c r="D455" s="112"/>
      <c r="F455" s="112"/>
      <c r="G455" s="112"/>
      <c r="H455" s="112"/>
      <c r="I455" s="112"/>
      <c r="J455" s="112"/>
      <c r="K455" s="112"/>
      <c r="L455" s="112"/>
      <c r="M455" s="112"/>
      <c r="N455" s="112"/>
      <c r="O455" s="112"/>
      <c r="P455" s="112"/>
      <c r="Q455" s="112"/>
      <c r="R455" s="112"/>
      <c r="S455" s="112"/>
      <c r="T455" s="112"/>
      <c r="U455" s="112"/>
      <c r="V455" s="209"/>
      <c r="W455" s="209"/>
      <c r="X455" s="209"/>
      <c r="Y455" s="112"/>
      <c r="AA455" s="112"/>
      <c r="AB455" s="112"/>
      <c r="AP455" s="112"/>
      <c r="AQ455" s="112"/>
      <c r="AR455" s="112"/>
      <c r="AS455" s="112"/>
      <c r="AT455" s="112"/>
      <c r="AU455" s="112"/>
    </row>
    <row r="456" spans="2:47" hidden="1" x14ac:dyDescent="0.2">
      <c r="B456" s="112"/>
      <c r="C456" s="112"/>
      <c r="D456" s="112"/>
      <c r="F456" s="112"/>
      <c r="G456" s="112" t="s">
        <v>195</v>
      </c>
      <c r="H456" s="112">
        <f>SUM(H405:H454)</f>
        <v>2.9859139999999999E-2</v>
      </c>
      <c r="I456" s="112"/>
      <c r="J456" s="112" t="s">
        <v>196</v>
      </c>
      <c r="K456" s="112">
        <f>SUM(K405:K454)</f>
        <v>2.3981447482381038</v>
      </c>
      <c r="L456" s="112"/>
      <c r="M456" s="112"/>
      <c r="N456" s="112"/>
      <c r="O456" s="112"/>
      <c r="P456" s="112"/>
      <c r="Q456" s="112"/>
      <c r="R456" s="112"/>
      <c r="S456" s="112"/>
      <c r="T456" s="112"/>
      <c r="U456" s="112"/>
      <c r="V456" s="209"/>
      <c r="W456" s="209"/>
      <c r="X456" s="209"/>
      <c r="Y456" s="112"/>
      <c r="AA456" s="112"/>
      <c r="AB456" s="112"/>
      <c r="AP456" s="112"/>
      <c r="AQ456" s="112"/>
      <c r="AR456" s="112"/>
      <c r="AS456" s="112"/>
      <c r="AT456" s="112"/>
      <c r="AU456" s="112"/>
    </row>
    <row r="457" spans="2:47" hidden="1" x14ac:dyDescent="0.2">
      <c r="B457" s="112"/>
      <c r="C457" s="112"/>
      <c r="D457" s="112"/>
      <c r="F457" s="112"/>
      <c r="G457" s="112"/>
      <c r="H457" s="112"/>
      <c r="I457" s="112"/>
      <c r="J457" s="112"/>
      <c r="K457" s="112"/>
      <c r="L457" s="112" t="s">
        <v>466</v>
      </c>
      <c r="M457" s="112">
        <f>STDEV(M405:M454)</f>
        <v>1.3093818970724133E-2</v>
      </c>
      <c r="N457" s="112"/>
      <c r="O457" s="112">
        <f>STDEV(O405:O454)</f>
        <v>1.0590389472267157</v>
      </c>
      <c r="P457" s="112"/>
      <c r="Q457" s="112"/>
      <c r="R457" s="112"/>
      <c r="S457" s="112"/>
      <c r="T457" s="112"/>
      <c r="U457" s="112"/>
      <c r="V457" s="209"/>
      <c r="W457" s="209"/>
      <c r="X457" s="209"/>
      <c r="Y457" s="112"/>
      <c r="AA457" s="112"/>
      <c r="AB457" s="112"/>
      <c r="AP457" s="112"/>
      <c r="AQ457" s="112"/>
      <c r="AR457" s="112"/>
      <c r="AS457" s="112"/>
      <c r="AT457" s="112"/>
      <c r="AU457" s="112"/>
    </row>
    <row r="458" spans="2:47" hidden="1" x14ac:dyDescent="0.2">
      <c r="B458" s="112"/>
      <c r="C458" s="112"/>
      <c r="D458" s="112"/>
      <c r="F458" s="112"/>
      <c r="G458" s="112"/>
      <c r="H458" s="112"/>
      <c r="I458" s="112"/>
      <c r="J458" s="112"/>
      <c r="K458" s="112"/>
      <c r="L458" s="112" t="s">
        <v>503</v>
      </c>
      <c r="M458" s="112"/>
      <c r="N458" s="112"/>
      <c r="O458" s="112">
        <f>EXP(O457)</f>
        <v>2.8835983669555807</v>
      </c>
      <c r="P458" s="112"/>
      <c r="Q458" s="112"/>
      <c r="R458" s="112"/>
      <c r="S458" s="112"/>
      <c r="T458" s="112"/>
      <c r="U458" s="112"/>
      <c r="V458" s="209"/>
      <c r="W458" s="209"/>
      <c r="X458" s="209"/>
      <c r="Y458" s="112"/>
      <c r="AA458" s="112"/>
      <c r="AB458" s="112"/>
      <c r="AP458" s="112"/>
      <c r="AQ458" s="112"/>
      <c r="AR458" s="112"/>
      <c r="AS458" s="112"/>
      <c r="AT458" s="112"/>
      <c r="AU458" s="112"/>
    </row>
    <row r="459" spans="2:47" hidden="1" x14ac:dyDescent="0.2">
      <c r="B459" s="112"/>
      <c r="C459" s="112"/>
      <c r="D459" s="112"/>
      <c r="F459" s="112"/>
      <c r="G459" s="112"/>
      <c r="H459" s="112"/>
      <c r="I459" s="112"/>
      <c r="J459" s="112"/>
      <c r="K459" s="112"/>
      <c r="L459" s="112" t="s">
        <v>504</v>
      </c>
      <c r="M459" s="112"/>
      <c r="N459" s="112"/>
      <c r="O459" s="112">
        <f>AVERAGE(O405:O454)</f>
        <v>-4.5432771655548532</v>
      </c>
      <c r="P459" s="112"/>
      <c r="Q459" s="112"/>
      <c r="R459" s="112"/>
      <c r="S459" s="112"/>
      <c r="T459" s="112"/>
      <c r="U459" s="112"/>
      <c r="V459" s="209"/>
      <c r="W459" s="209"/>
      <c r="X459" s="209"/>
      <c r="Y459" s="112"/>
      <c r="AA459" s="112"/>
      <c r="AB459" s="112"/>
      <c r="AP459" s="112"/>
      <c r="AQ459" s="112"/>
      <c r="AR459" s="112"/>
      <c r="AS459" s="112"/>
      <c r="AT459" s="112"/>
      <c r="AU459" s="112"/>
    </row>
    <row r="460" spans="2:47" hidden="1" x14ac:dyDescent="0.2">
      <c r="B460" s="112"/>
      <c r="C460" s="112"/>
      <c r="D460" s="112"/>
      <c r="F460" s="112"/>
      <c r="G460" s="112"/>
      <c r="H460" s="112"/>
      <c r="I460" s="112"/>
      <c r="J460" s="112"/>
      <c r="K460" s="112"/>
      <c r="L460" s="112" t="s">
        <v>505</v>
      </c>
      <c r="M460" s="112"/>
      <c r="N460" s="112"/>
      <c r="O460" s="112">
        <f>EXP(O459)</f>
        <v>1.0638485285854532E-2</v>
      </c>
      <c r="P460" s="112"/>
      <c r="Q460" s="112"/>
      <c r="R460" s="112"/>
      <c r="S460" s="112"/>
      <c r="T460" s="112"/>
      <c r="U460" s="112"/>
      <c r="V460" s="209"/>
      <c r="W460" s="209"/>
      <c r="X460" s="209"/>
      <c r="Y460" s="112"/>
      <c r="AA460" s="112"/>
      <c r="AB460" s="112"/>
      <c r="AP460" s="112"/>
      <c r="AQ460" s="112"/>
      <c r="AR460" s="112"/>
      <c r="AS460" s="112"/>
      <c r="AT460" s="112"/>
      <c r="AU460" s="112"/>
    </row>
    <row r="461" spans="2:47" hidden="1" x14ac:dyDescent="0.2">
      <c r="B461" s="112"/>
      <c r="C461" s="112"/>
      <c r="D461" s="112"/>
      <c r="F461" s="112"/>
      <c r="G461" s="112"/>
      <c r="H461" s="112"/>
      <c r="I461" s="112"/>
      <c r="J461" s="112"/>
      <c r="K461" s="112"/>
      <c r="L461" s="112"/>
      <c r="M461" s="112"/>
      <c r="N461" s="112"/>
      <c r="O461" s="112"/>
      <c r="P461" s="112"/>
      <c r="Q461" s="112"/>
      <c r="R461" s="112"/>
      <c r="S461" s="112"/>
      <c r="T461" s="112"/>
      <c r="U461" s="112"/>
      <c r="V461" s="209"/>
      <c r="W461" s="209"/>
      <c r="X461" s="209"/>
      <c r="Y461" s="112"/>
      <c r="AA461" s="112"/>
      <c r="AB461" s="112"/>
      <c r="AP461" s="112"/>
      <c r="AQ461" s="112"/>
      <c r="AR461" s="112"/>
      <c r="AS461" s="112"/>
      <c r="AT461" s="112"/>
      <c r="AU461" s="112"/>
    </row>
    <row r="462" spans="2:47" hidden="1" x14ac:dyDescent="0.2">
      <c r="B462" s="112"/>
      <c r="C462" s="112"/>
      <c r="D462" s="112"/>
      <c r="F462" s="112"/>
      <c r="G462" s="112"/>
      <c r="H462" s="112"/>
      <c r="I462" s="112"/>
      <c r="J462" s="112"/>
      <c r="K462" s="112"/>
      <c r="L462" s="112"/>
      <c r="M462" s="112"/>
      <c r="N462" s="112"/>
      <c r="O462" s="112"/>
      <c r="P462" s="112"/>
      <c r="Q462" s="112"/>
      <c r="R462" s="112"/>
      <c r="S462" s="112"/>
      <c r="T462" s="112"/>
      <c r="U462" s="112"/>
      <c r="V462" s="209"/>
      <c r="W462" s="209"/>
      <c r="X462" s="209"/>
      <c r="Y462" s="112"/>
      <c r="AA462" s="112"/>
      <c r="AB462" s="112"/>
      <c r="AP462" s="112"/>
      <c r="AQ462" s="112"/>
      <c r="AR462" s="112"/>
      <c r="AS462" s="112"/>
      <c r="AT462" s="112"/>
      <c r="AU462" s="112"/>
    </row>
    <row r="463" spans="2:47" hidden="1" x14ac:dyDescent="0.2">
      <c r="B463" s="112"/>
      <c r="C463" s="112"/>
      <c r="D463" s="112"/>
      <c r="F463" s="112"/>
      <c r="G463" s="112"/>
      <c r="H463" s="112"/>
      <c r="I463" s="112"/>
      <c r="J463" s="112"/>
      <c r="K463" s="112"/>
      <c r="L463" s="112"/>
      <c r="M463" s="112"/>
      <c r="N463" s="112"/>
      <c r="O463" s="112"/>
      <c r="P463" s="112"/>
      <c r="Q463" s="112"/>
      <c r="R463" s="112"/>
      <c r="S463" s="112"/>
      <c r="T463" s="112"/>
      <c r="U463" s="112"/>
      <c r="V463" s="209"/>
      <c r="W463" s="209"/>
      <c r="X463" s="209"/>
      <c r="Y463" s="112"/>
      <c r="AA463" s="112"/>
      <c r="AB463" s="112"/>
      <c r="AP463" s="112"/>
      <c r="AQ463" s="112"/>
      <c r="AR463" s="112"/>
      <c r="AS463" s="112"/>
      <c r="AT463" s="112"/>
      <c r="AU463" s="112"/>
    </row>
    <row r="464" spans="2:47" hidden="1" x14ac:dyDescent="0.2">
      <c r="B464" s="112"/>
      <c r="C464" s="112"/>
      <c r="D464" s="112"/>
      <c r="F464" s="112"/>
      <c r="G464" s="112"/>
      <c r="H464" s="112"/>
      <c r="I464" s="112"/>
      <c r="J464" s="112"/>
      <c r="K464" s="112"/>
      <c r="L464" s="112"/>
      <c r="M464" s="112"/>
      <c r="N464" s="112"/>
      <c r="O464" s="112"/>
      <c r="P464" s="112"/>
      <c r="Q464" s="112"/>
      <c r="R464" s="112"/>
      <c r="S464" s="112"/>
      <c r="T464" s="112"/>
      <c r="U464" s="112"/>
      <c r="V464" s="209"/>
      <c r="W464" s="209"/>
      <c r="X464" s="209"/>
      <c r="Y464" s="112"/>
      <c r="AA464" s="112"/>
      <c r="AB464" s="112"/>
      <c r="AP464" s="112"/>
      <c r="AQ464" s="112"/>
      <c r="AR464" s="112"/>
      <c r="AS464" s="112"/>
      <c r="AT464" s="112"/>
      <c r="AU464" s="112"/>
    </row>
    <row r="465" spans="2:47" hidden="1" x14ac:dyDescent="0.2">
      <c r="B465" s="112"/>
      <c r="C465" s="112"/>
      <c r="D465" s="112"/>
      <c r="F465" s="112"/>
      <c r="G465" s="112"/>
      <c r="H465" s="112"/>
      <c r="I465" s="112"/>
      <c r="J465" s="112"/>
      <c r="K465" s="112"/>
      <c r="L465" s="112"/>
      <c r="M465" s="112"/>
      <c r="N465" s="112"/>
      <c r="O465" s="112"/>
      <c r="P465" s="112"/>
      <c r="Q465" s="112"/>
      <c r="R465" s="112"/>
      <c r="S465" s="112"/>
      <c r="T465" s="112"/>
      <c r="U465" s="112"/>
      <c r="V465" s="209"/>
      <c r="W465" s="209"/>
      <c r="X465" s="209"/>
      <c r="Y465" s="112"/>
      <c r="AA465" s="112"/>
      <c r="AB465" s="112"/>
      <c r="AP465" s="112"/>
      <c r="AQ465" s="112"/>
      <c r="AR465" s="112"/>
      <c r="AS465" s="112"/>
      <c r="AT465" s="112"/>
      <c r="AU465" s="112"/>
    </row>
    <row r="466" spans="2:47" hidden="1" x14ac:dyDescent="0.2">
      <c r="B466" s="112"/>
      <c r="C466" s="112"/>
      <c r="D466" s="112"/>
      <c r="F466" s="112"/>
      <c r="G466" s="112"/>
      <c r="H466" s="112"/>
      <c r="I466" s="112"/>
      <c r="J466" s="112"/>
      <c r="K466" s="112"/>
      <c r="L466" s="112"/>
      <c r="M466" s="112"/>
      <c r="N466" s="112"/>
      <c r="O466" s="112"/>
      <c r="P466" s="112"/>
      <c r="Q466" s="112"/>
      <c r="R466" s="112"/>
      <c r="S466" s="112"/>
      <c r="T466" s="112"/>
      <c r="U466" s="112"/>
      <c r="V466" s="209"/>
      <c r="W466" s="209"/>
      <c r="X466" s="209"/>
      <c r="Y466" s="112"/>
      <c r="AA466" s="112"/>
      <c r="AB466" s="112"/>
      <c r="AP466" s="112"/>
      <c r="AQ466" s="112"/>
      <c r="AR466" s="112"/>
      <c r="AS466" s="112"/>
      <c r="AT466" s="112"/>
      <c r="AU466" s="112"/>
    </row>
    <row r="467" spans="2:47" hidden="1" x14ac:dyDescent="0.2">
      <c r="B467" s="112"/>
      <c r="C467" s="112"/>
      <c r="D467" s="112"/>
      <c r="F467" s="112"/>
      <c r="G467" s="112"/>
      <c r="H467" s="112"/>
      <c r="I467" s="112"/>
      <c r="J467" s="112"/>
      <c r="K467" s="112"/>
      <c r="L467" s="112"/>
      <c r="M467" s="112"/>
      <c r="N467" s="112"/>
      <c r="O467" s="112"/>
      <c r="P467" s="112"/>
      <c r="Q467" s="112"/>
      <c r="R467" s="112"/>
      <c r="S467" s="112"/>
      <c r="T467" s="112"/>
      <c r="U467" s="112"/>
      <c r="V467" s="209"/>
      <c r="W467" s="209"/>
      <c r="X467" s="209"/>
      <c r="Y467" s="112"/>
      <c r="AA467" s="112"/>
      <c r="AB467" s="112"/>
      <c r="AP467" s="112"/>
      <c r="AQ467" s="112"/>
      <c r="AR467" s="112"/>
      <c r="AS467" s="112"/>
      <c r="AT467" s="112"/>
      <c r="AU467" s="112"/>
    </row>
    <row r="468" spans="2:47" hidden="1" x14ac:dyDescent="0.2">
      <c r="B468" s="112"/>
      <c r="C468" s="112"/>
      <c r="D468" s="112"/>
      <c r="F468" s="112"/>
      <c r="G468" s="112"/>
      <c r="H468" s="112"/>
      <c r="I468" s="112"/>
      <c r="J468" s="112"/>
      <c r="K468" s="112"/>
      <c r="L468" s="112"/>
      <c r="M468" s="112"/>
      <c r="N468" s="112"/>
      <c r="O468" s="112"/>
      <c r="P468" s="112"/>
      <c r="Q468" s="112"/>
      <c r="R468" s="112"/>
      <c r="S468" s="112"/>
      <c r="T468" s="112"/>
      <c r="U468" s="112"/>
      <c r="V468" s="209"/>
      <c r="W468" s="209"/>
      <c r="X468" s="209"/>
      <c r="Y468" s="112"/>
      <c r="AA468" s="112"/>
      <c r="AB468" s="112"/>
      <c r="AP468" s="112"/>
      <c r="AQ468" s="112"/>
      <c r="AR468" s="112"/>
      <c r="AS468" s="112"/>
      <c r="AT468" s="112"/>
      <c r="AU468" s="112"/>
    </row>
    <row r="469" spans="2:47" hidden="1" x14ac:dyDescent="0.2">
      <c r="B469" s="112"/>
      <c r="C469" s="112"/>
      <c r="D469" s="112"/>
      <c r="F469" s="112"/>
      <c r="G469" s="112"/>
      <c r="H469" s="112"/>
      <c r="I469" s="112"/>
      <c r="J469" s="112"/>
      <c r="K469" s="112"/>
      <c r="L469" s="112"/>
      <c r="M469" s="112"/>
      <c r="N469" s="112"/>
      <c r="O469" s="112"/>
      <c r="P469" s="112"/>
      <c r="Q469" s="112"/>
      <c r="R469" s="112"/>
      <c r="S469" s="112"/>
      <c r="T469" s="112"/>
      <c r="U469" s="112"/>
      <c r="V469" s="209"/>
      <c r="W469" s="209"/>
      <c r="X469" s="209"/>
      <c r="Y469" s="112"/>
      <c r="AA469" s="112"/>
      <c r="AB469" s="112"/>
      <c r="AP469" s="112"/>
      <c r="AQ469" s="112"/>
      <c r="AR469" s="112"/>
      <c r="AS469" s="112"/>
      <c r="AT469" s="112"/>
      <c r="AU469" s="112"/>
    </row>
    <row r="470" spans="2:47" hidden="1" x14ac:dyDescent="0.2">
      <c r="B470" s="112"/>
      <c r="C470" s="112"/>
      <c r="D470" s="112"/>
      <c r="F470" s="112"/>
      <c r="G470" s="112"/>
      <c r="H470" s="112"/>
      <c r="I470" s="112"/>
      <c r="J470" s="112"/>
      <c r="K470" s="112"/>
      <c r="L470" s="112"/>
      <c r="M470" s="112"/>
      <c r="N470" s="112"/>
      <c r="O470" s="112"/>
      <c r="P470" s="112"/>
      <c r="Q470" s="112"/>
      <c r="R470" s="112"/>
      <c r="S470" s="112"/>
      <c r="T470" s="112"/>
      <c r="U470" s="112"/>
      <c r="V470" s="209"/>
      <c r="W470" s="209"/>
      <c r="X470" s="209"/>
      <c r="Y470" s="112"/>
      <c r="AA470" s="112"/>
      <c r="AB470" s="112"/>
      <c r="AP470" s="112"/>
      <c r="AQ470" s="112"/>
      <c r="AR470" s="112"/>
      <c r="AS470" s="112"/>
      <c r="AT470" s="112"/>
      <c r="AU470" s="112"/>
    </row>
    <row r="471" spans="2:47" hidden="1" x14ac:dyDescent="0.2">
      <c r="B471" s="112"/>
      <c r="C471" s="112"/>
      <c r="D471" s="112"/>
      <c r="F471" s="112"/>
      <c r="G471" s="112"/>
      <c r="H471" s="112"/>
      <c r="I471" s="112"/>
      <c r="J471" s="112"/>
      <c r="K471" s="112"/>
      <c r="L471" s="112"/>
      <c r="M471" s="112"/>
      <c r="N471" s="112"/>
      <c r="O471" s="112"/>
      <c r="P471" s="112"/>
      <c r="Q471" s="112"/>
      <c r="R471" s="112"/>
      <c r="S471" s="112"/>
      <c r="T471" s="112"/>
      <c r="U471" s="112"/>
      <c r="V471" s="209"/>
      <c r="W471" s="209"/>
      <c r="X471" s="209"/>
      <c r="Y471" s="112"/>
      <c r="AA471" s="112"/>
      <c r="AB471" s="112"/>
      <c r="AP471" s="112"/>
      <c r="AQ471" s="112"/>
      <c r="AR471" s="112"/>
      <c r="AS471" s="112"/>
      <c r="AT471" s="112"/>
      <c r="AU471" s="112"/>
    </row>
    <row r="472" spans="2:47" hidden="1" x14ac:dyDescent="0.2">
      <c r="B472" s="112"/>
      <c r="C472" s="112"/>
      <c r="D472" s="112"/>
      <c r="F472" s="112"/>
      <c r="G472" s="112"/>
      <c r="H472" s="112"/>
      <c r="I472" s="112"/>
      <c r="J472" s="112"/>
      <c r="K472" s="112"/>
      <c r="L472" s="112"/>
      <c r="M472" s="112"/>
      <c r="N472" s="112"/>
      <c r="O472" s="112"/>
      <c r="P472" s="112"/>
      <c r="Q472" s="112"/>
      <c r="R472" s="112"/>
      <c r="S472" s="112"/>
      <c r="T472" s="112"/>
      <c r="U472" s="112"/>
      <c r="V472" s="209"/>
      <c r="W472" s="209"/>
      <c r="X472" s="209"/>
      <c r="Y472" s="112"/>
      <c r="AA472" s="112"/>
      <c r="AB472" s="112"/>
      <c r="AP472" s="112"/>
      <c r="AQ472" s="112"/>
      <c r="AR472" s="112"/>
      <c r="AS472" s="112"/>
      <c r="AT472" s="112"/>
      <c r="AU472" s="112"/>
    </row>
    <row r="473" spans="2:47" hidden="1" x14ac:dyDescent="0.2">
      <c r="B473" s="112"/>
      <c r="C473" s="112"/>
      <c r="D473" s="112"/>
      <c r="F473" s="112"/>
      <c r="G473" s="112"/>
      <c r="H473" s="112"/>
      <c r="I473" s="112"/>
      <c r="J473" s="112"/>
      <c r="K473" s="112"/>
      <c r="L473" s="112"/>
      <c r="M473" s="112"/>
      <c r="N473" s="112"/>
      <c r="O473" s="112"/>
      <c r="P473" s="112"/>
      <c r="Q473" s="112"/>
      <c r="R473" s="112"/>
      <c r="S473" s="112"/>
      <c r="T473" s="112"/>
      <c r="U473" s="112"/>
      <c r="V473" s="209"/>
      <c r="W473" s="209"/>
      <c r="X473" s="209"/>
      <c r="Y473" s="112"/>
      <c r="AA473" s="112"/>
      <c r="AB473" s="112"/>
      <c r="AP473" s="112"/>
      <c r="AQ473" s="112"/>
      <c r="AR473" s="112"/>
      <c r="AS473" s="112"/>
      <c r="AT473" s="112"/>
      <c r="AU473" s="112"/>
    </row>
    <row r="474" spans="2:47" hidden="1" x14ac:dyDescent="0.2">
      <c r="B474" s="112"/>
      <c r="C474" s="112"/>
      <c r="D474" s="112"/>
      <c r="F474" s="112"/>
      <c r="G474" s="112"/>
      <c r="H474" s="112"/>
      <c r="I474" s="112"/>
      <c r="J474" s="112"/>
      <c r="K474" s="112"/>
      <c r="L474" s="112"/>
      <c r="M474" s="112"/>
      <c r="N474" s="112"/>
      <c r="O474" s="112"/>
      <c r="P474" s="112"/>
      <c r="Q474" s="112"/>
      <c r="R474" s="112"/>
      <c r="S474" s="112"/>
      <c r="T474" s="112"/>
      <c r="U474" s="112"/>
      <c r="V474" s="209"/>
      <c r="W474" s="209"/>
      <c r="X474" s="209"/>
      <c r="Y474" s="112"/>
      <c r="AA474" s="112"/>
      <c r="AB474" s="112"/>
      <c r="AP474" s="112"/>
      <c r="AQ474" s="112"/>
      <c r="AR474" s="112"/>
      <c r="AS474" s="112"/>
      <c r="AT474" s="112"/>
      <c r="AU474" s="112"/>
    </row>
    <row r="475" spans="2:47" hidden="1" x14ac:dyDescent="0.2">
      <c r="B475" s="112"/>
      <c r="C475" s="112"/>
      <c r="D475" s="112"/>
      <c r="F475" s="112"/>
      <c r="G475" s="112"/>
      <c r="H475" s="112"/>
      <c r="I475" s="112"/>
      <c r="J475" s="112"/>
      <c r="K475" s="112"/>
      <c r="L475" s="112"/>
      <c r="M475" s="112"/>
      <c r="N475" s="112"/>
      <c r="O475" s="112"/>
      <c r="P475" s="112"/>
      <c r="Q475" s="112"/>
      <c r="R475" s="112"/>
      <c r="S475" s="112"/>
      <c r="T475" s="112"/>
      <c r="U475" s="112"/>
      <c r="V475" s="209"/>
      <c r="W475" s="209"/>
      <c r="X475" s="209"/>
      <c r="Y475" s="112"/>
      <c r="AA475" s="112"/>
      <c r="AB475" s="112"/>
      <c r="AP475" s="112"/>
      <c r="AQ475" s="112"/>
      <c r="AR475" s="112"/>
      <c r="AS475" s="112"/>
      <c r="AT475" s="112"/>
      <c r="AU475" s="112"/>
    </row>
    <row r="476" spans="2:47" hidden="1" x14ac:dyDescent="0.2">
      <c r="B476" s="112"/>
      <c r="C476" s="112"/>
      <c r="D476" s="112"/>
      <c r="F476" s="112"/>
      <c r="G476" s="112"/>
      <c r="H476" s="112"/>
      <c r="I476" s="112"/>
      <c r="J476" s="112"/>
      <c r="K476" s="112"/>
      <c r="L476" s="112"/>
      <c r="M476" s="112"/>
      <c r="N476" s="112"/>
      <c r="O476" s="112"/>
      <c r="P476" s="112"/>
      <c r="Q476" s="112"/>
      <c r="R476" s="112"/>
      <c r="S476" s="112"/>
      <c r="T476" s="112"/>
      <c r="U476" s="112"/>
      <c r="V476" s="209"/>
      <c r="W476" s="209"/>
      <c r="X476" s="209"/>
      <c r="Y476" s="112"/>
      <c r="AA476" s="112"/>
      <c r="AB476" s="112"/>
      <c r="AP476" s="112"/>
      <c r="AQ476" s="112"/>
      <c r="AR476" s="112"/>
      <c r="AS476" s="112"/>
      <c r="AT476" s="112"/>
      <c r="AU476" s="112"/>
    </row>
    <row r="477" spans="2:47" hidden="1" x14ac:dyDescent="0.2">
      <c r="B477" s="112"/>
      <c r="C477" s="112"/>
      <c r="D477" s="112"/>
      <c r="F477" s="112"/>
      <c r="G477" s="112"/>
      <c r="H477" s="112"/>
      <c r="I477" s="112"/>
      <c r="J477" s="112"/>
      <c r="K477" s="112"/>
      <c r="L477" s="112"/>
      <c r="M477" s="112"/>
      <c r="N477" s="112"/>
      <c r="O477" s="112"/>
      <c r="P477" s="112"/>
      <c r="Q477" s="112"/>
      <c r="R477" s="112"/>
      <c r="S477" s="112"/>
      <c r="T477" s="112"/>
      <c r="U477" s="112"/>
      <c r="V477" s="209"/>
      <c r="W477" s="209"/>
      <c r="X477" s="209"/>
      <c r="Y477" s="112"/>
      <c r="AA477" s="112"/>
      <c r="AB477" s="112"/>
      <c r="AP477" s="112"/>
      <c r="AQ477" s="112"/>
      <c r="AR477" s="112"/>
      <c r="AS477" s="112"/>
      <c r="AT477" s="112"/>
      <c r="AU477" s="112"/>
    </row>
    <row r="478" spans="2:47" hidden="1" x14ac:dyDescent="0.2">
      <c r="B478" s="112"/>
      <c r="C478" s="112"/>
      <c r="D478" s="112"/>
      <c r="F478" s="112"/>
      <c r="G478" s="112"/>
      <c r="H478" s="112"/>
      <c r="I478" s="112"/>
      <c r="J478" s="112"/>
      <c r="K478" s="112"/>
      <c r="L478" s="112"/>
      <c r="M478" s="112"/>
      <c r="N478" s="112"/>
      <c r="O478" s="112"/>
      <c r="P478" s="112"/>
      <c r="Q478" s="112"/>
      <c r="R478" s="112"/>
      <c r="S478" s="112"/>
      <c r="T478" s="112"/>
      <c r="U478" s="112"/>
      <c r="V478" s="209"/>
      <c r="W478" s="209"/>
      <c r="X478" s="209"/>
      <c r="Y478" s="112"/>
      <c r="AA478" s="112"/>
      <c r="AB478" s="112"/>
      <c r="AP478" s="112"/>
      <c r="AQ478" s="112"/>
      <c r="AR478" s="112"/>
      <c r="AS478" s="112"/>
      <c r="AT478" s="112"/>
      <c r="AU478" s="112"/>
    </row>
    <row r="479" spans="2:47" hidden="1" x14ac:dyDescent="0.2">
      <c r="B479" s="112"/>
      <c r="C479" s="112"/>
      <c r="D479" s="112"/>
      <c r="F479" s="112"/>
      <c r="G479" s="112"/>
      <c r="H479" s="112"/>
      <c r="I479" s="112"/>
      <c r="J479" s="112"/>
      <c r="K479" s="112"/>
      <c r="L479" s="112"/>
      <c r="M479" s="112"/>
      <c r="N479" s="112"/>
      <c r="O479" s="112"/>
      <c r="P479" s="112"/>
      <c r="Q479" s="112"/>
      <c r="R479" s="112"/>
      <c r="S479" s="112"/>
      <c r="T479" s="112"/>
      <c r="U479" s="112"/>
      <c r="V479" s="209"/>
      <c r="W479" s="209"/>
      <c r="X479" s="209"/>
      <c r="Y479" s="112"/>
      <c r="AA479" s="112"/>
      <c r="AB479" s="112"/>
      <c r="AP479" s="112"/>
      <c r="AQ479" s="112"/>
      <c r="AR479" s="112"/>
      <c r="AS479" s="112"/>
      <c r="AT479" s="112"/>
      <c r="AU479" s="112"/>
    </row>
    <row r="480" spans="2:47" hidden="1" x14ac:dyDescent="0.2">
      <c r="B480" s="112"/>
      <c r="C480" s="112"/>
      <c r="D480" s="112"/>
      <c r="F480" s="112"/>
      <c r="G480" s="112"/>
      <c r="H480" s="112"/>
      <c r="I480" s="112"/>
      <c r="J480" s="112"/>
      <c r="K480" s="112"/>
      <c r="L480" s="112"/>
      <c r="M480" s="112"/>
      <c r="N480" s="112"/>
      <c r="O480" s="112"/>
      <c r="P480" s="112"/>
      <c r="Q480" s="112"/>
      <c r="R480" s="112"/>
      <c r="S480" s="112"/>
      <c r="T480" s="112"/>
      <c r="U480" s="112"/>
      <c r="V480" s="209"/>
      <c r="W480" s="209"/>
      <c r="X480" s="209"/>
      <c r="Y480" s="112"/>
      <c r="AA480" s="112"/>
      <c r="AB480" s="112"/>
      <c r="AP480" s="112"/>
      <c r="AQ480" s="112"/>
      <c r="AR480" s="112"/>
      <c r="AS480" s="112"/>
      <c r="AT480" s="112"/>
      <c r="AU480" s="112"/>
    </row>
    <row r="481" spans="2:47" hidden="1" x14ac:dyDescent="0.2">
      <c r="B481" s="112"/>
      <c r="C481" s="112"/>
      <c r="D481" s="112"/>
      <c r="F481" s="112"/>
      <c r="G481" s="112"/>
      <c r="H481" s="112"/>
      <c r="I481" s="112"/>
      <c r="J481" s="112"/>
      <c r="K481" s="112"/>
      <c r="L481" s="112"/>
      <c r="M481" s="112"/>
      <c r="N481" s="112"/>
      <c r="O481" s="112"/>
      <c r="P481" s="112"/>
      <c r="Q481" s="112"/>
      <c r="R481" s="112"/>
      <c r="S481" s="112"/>
      <c r="T481" s="112"/>
      <c r="U481" s="112"/>
      <c r="V481" s="209"/>
      <c r="W481" s="209"/>
      <c r="X481" s="209"/>
      <c r="Y481" s="112"/>
      <c r="AA481" s="112"/>
      <c r="AB481" s="112"/>
      <c r="AP481" s="112"/>
      <c r="AQ481" s="112"/>
      <c r="AR481" s="112"/>
      <c r="AS481" s="112"/>
      <c r="AT481" s="112"/>
      <c r="AU481" s="112"/>
    </row>
    <row r="482" spans="2:47" hidden="1" x14ac:dyDescent="0.2">
      <c r="B482" s="112"/>
      <c r="C482" s="112"/>
      <c r="D482" s="112"/>
      <c r="F482" s="112"/>
      <c r="G482" s="112"/>
      <c r="H482" s="112"/>
      <c r="I482" s="112"/>
      <c r="J482" s="112"/>
      <c r="K482" s="112"/>
      <c r="L482" s="112"/>
      <c r="M482" s="112"/>
      <c r="N482" s="112"/>
      <c r="O482" s="112"/>
      <c r="P482" s="112"/>
      <c r="Q482" s="112"/>
      <c r="R482" s="112"/>
      <c r="S482" s="112"/>
      <c r="T482" s="112"/>
      <c r="U482" s="112"/>
      <c r="V482" s="209"/>
      <c r="W482" s="209"/>
      <c r="X482" s="209"/>
      <c r="Y482" s="112"/>
      <c r="AA482" s="112"/>
      <c r="AB482" s="112"/>
      <c r="AP482" s="112"/>
      <c r="AQ482" s="112"/>
      <c r="AR482" s="112"/>
      <c r="AS482" s="112"/>
      <c r="AT482" s="112"/>
      <c r="AU482" s="112"/>
    </row>
    <row r="483" spans="2:47" hidden="1" x14ac:dyDescent="0.2">
      <c r="B483" s="112"/>
      <c r="C483" s="112"/>
      <c r="D483" s="112"/>
      <c r="F483" s="112"/>
      <c r="G483" s="112"/>
      <c r="H483" s="112"/>
      <c r="I483" s="112"/>
      <c r="J483" s="112"/>
      <c r="K483" s="112"/>
      <c r="L483" s="112"/>
      <c r="M483" s="112"/>
      <c r="N483" s="112"/>
      <c r="O483" s="112"/>
      <c r="P483" s="112"/>
      <c r="Q483" s="112"/>
      <c r="R483" s="112"/>
      <c r="S483" s="112"/>
      <c r="T483" s="112"/>
      <c r="U483" s="112"/>
      <c r="V483" s="209"/>
      <c r="W483" s="209"/>
      <c r="X483" s="209"/>
      <c r="Y483" s="112"/>
      <c r="AA483" s="112"/>
      <c r="AB483" s="112"/>
      <c r="AP483" s="112"/>
      <c r="AQ483" s="112"/>
      <c r="AR483" s="112"/>
      <c r="AS483" s="112"/>
      <c r="AT483" s="112"/>
      <c r="AU483" s="112"/>
    </row>
    <row r="484" spans="2:47" hidden="1" x14ac:dyDescent="0.2">
      <c r="B484" s="112"/>
      <c r="C484" s="112"/>
      <c r="D484" s="112"/>
      <c r="F484" s="112"/>
      <c r="G484" s="112"/>
      <c r="H484" s="112"/>
      <c r="I484" s="112"/>
      <c r="J484" s="112"/>
      <c r="K484" s="112"/>
      <c r="L484" s="112"/>
      <c r="M484" s="112"/>
      <c r="N484" s="112"/>
      <c r="O484" s="112"/>
      <c r="P484" s="112"/>
      <c r="Q484" s="112"/>
      <c r="R484" s="112"/>
      <c r="S484" s="112"/>
      <c r="T484" s="112"/>
      <c r="U484" s="112"/>
      <c r="V484" s="209"/>
      <c r="W484" s="209"/>
      <c r="X484" s="209"/>
      <c r="Y484" s="112"/>
      <c r="AA484" s="112"/>
      <c r="AB484" s="112"/>
      <c r="AP484" s="112"/>
      <c r="AQ484" s="112"/>
      <c r="AR484" s="112"/>
      <c r="AS484" s="112"/>
      <c r="AT484" s="112"/>
      <c r="AU484" s="112"/>
    </row>
    <row r="485" spans="2:47" hidden="1" x14ac:dyDescent="0.2">
      <c r="B485" s="112"/>
      <c r="C485" s="112"/>
      <c r="D485" s="112"/>
      <c r="F485" s="112"/>
      <c r="G485" s="112"/>
      <c r="H485" s="112"/>
      <c r="I485" s="112"/>
      <c r="J485" s="112"/>
      <c r="K485" s="112"/>
      <c r="L485" s="112"/>
      <c r="M485" s="112"/>
      <c r="N485" s="112"/>
      <c r="O485" s="112"/>
      <c r="P485" s="112"/>
      <c r="Q485" s="112"/>
      <c r="R485" s="112"/>
      <c r="S485" s="112"/>
      <c r="T485" s="112"/>
      <c r="U485" s="112"/>
      <c r="V485" s="209"/>
      <c r="W485" s="209"/>
      <c r="X485" s="209"/>
      <c r="Y485" s="112"/>
      <c r="AA485" s="112"/>
      <c r="AB485" s="112"/>
      <c r="AP485" s="112"/>
      <c r="AQ485" s="112"/>
      <c r="AR485" s="112"/>
      <c r="AS485" s="112"/>
      <c r="AT485" s="112"/>
      <c r="AU485" s="112"/>
    </row>
    <row r="486" spans="2:47" hidden="1" x14ac:dyDescent="0.2">
      <c r="B486" s="112"/>
      <c r="C486" s="112"/>
      <c r="D486" s="112"/>
      <c r="F486" s="112"/>
      <c r="G486" s="112"/>
      <c r="H486" s="112"/>
      <c r="I486" s="112"/>
      <c r="J486" s="112"/>
      <c r="K486" s="112"/>
      <c r="L486" s="112"/>
      <c r="M486" s="112"/>
      <c r="N486" s="112"/>
      <c r="O486" s="112"/>
      <c r="P486" s="112"/>
      <c r="Q486" s="112"/>
      <c r="R486" s="112"/>
      <c r="S486" s="112"/>
      <c r="T486" s="112"/>
      <c r="U486" s="112"/>
      <c r="V486" s="209"/>
      <c r="W486" s="209"/>
      <c r="X486" s="209"/>
      <c r="Y486" s="112"/>
      <c r="AA486" s="112"/>
      <c r="AB486" s="112"/>
      <c r="AP486" s="112"/>
      <c r="AQ486" s="112"/>
      <c r="AR486" s="112"/>
      <c r="AS486" s="112"/>
      <c r="AT486" s="112"/>
      <c r="AU486" s="112"/>
    </row>
    <row r="487" spans="2:47" hidden="1" x14ac:dyDescent="0.2">
      <c r="B487" s="112"/>
      <c r="C487" s="112"/>
      <c r="D487" s="112"/>
      <c r="F487" s="112"/>
      <c r="G487" s="112"/>
      <c r="H487" s="112"/>
      <c r="I487" s="112"/>
      <c r="J487" s="112"/>
      <c r="K487" s="112"/>
      <c r="L487" s="112"/>
      <c r="M487" s="112"/>
      <c r="N487" s="112"/>
      <c r="O487" s="112"/>
      <c r="P487" s="112"/>
      <c r="Q487" s="112"/>
      <c r="R487" s="112"/>
      <c r="S487" s="112"/>
      <c r="T487" s="112"/>
      <c r="U487" s="112"/>
      <c r="V487" s="209"/>
      <c r="W487" s="209"/>
      <c r="X487" s="209"/>
      <c r="Y487" s="112"/>
      <c r="AA487" s="112"/>
      <c r="AB487" s="112"/>
      <c r="AP487" s="112"/>
      <c r="AQ487" s="112"/>
      <c r="AR487" s="112"/>
      <c r="AS487" s="112"/>
      <c r="AT487" s="112"/>
      <c r="AU487" s="112"/>
    </row>
    <row r="488" spans="2:47" hidden="1" x14ac:dyDescent="0.2">
      <c r="B488" s="112"/>
      <c r="C488" s="112"/>
      <c r="D488" s="112"/>
      <c r="F488" s="112"/>
      <c r="G488" s="112"/>
      <c r="H488" s="112"/>
      <c r="I488" s="112"/>
      <c r="J488" s="112"/>
      <c r="K488" s="112"/>
      <c r="L488" s="112"/>
      <c r="M488" s="112"/>
      <c r="N488" s="112"/>
      <c r="O488" s="112"/>
      <c r="P488" s="112"/>
      <c r="Q488" s="112"/>
      <c r="R488" s="112"/>
      <c r="S488" s="112"/>
      <c r="T488" s="112"/>
      <c r="U488" s="112"/>
      <c r="V488" s="209"/>
      <c r="W488" s="209"/>
      <c r="X488" s="209"/>
      <c r="Y488" s="112"/>
      <c r="AA488" s="112"/>
      <c r="AB488" s="112"/>
      <c r="AP488" s="112"/>
      <c r="AQ488" s="112"/>
      <c r="AR488" s="112"/>
      <c r="AS488" s="112"/>
      <c r="AT488" s="112"/>
      <c r="AU488" s="112"/>
    </row>
    <row r="489" spans="2:47" hidden="1" x14ac:dyDescent="0.2">
      <c r="B489" s="112"/>
      <c r="C489" s="112"/>
      <c r="D489" s="112"/>
      <c r="F489" s="112"/>
      <c r="G489" s="112"/>
      <c r="H489" s="112"/>
      <c r="I489" s="112"/>
      <c r="J489" s="112"/>
      <c r="K489" s="112"/>
      <c r="L489" s="112"/>
      <c r="M489" s="112"/>
      <c r="N489" s="112"/>
      <c r="O489" s="112"/>
      <c r="P489" s="112"/>
      <c r="Q489" s="112"/>
      <c r="R489" s="112"/>
      <c r="S489" s="112"/>
      <c r="T489" s="112"/>
      <c r="U489" s="112"/>
      <c r="V489" s="209"/>
      <c r="W489" s="209"/>
      <c r="X489" s="209"/>
      <c r="Y489" s="112"/>
      <c r="AA489" s="112"/>
      <c r="AB489" s="112"/>
      <c r="AP489" s="112"/>
      <c r="AQ489" s="112"/>
      <c r="AR489" s="112"/>
      <c r="AS489" s="112"/>
      <c r="AT489" s="112"/>
      <c r="AU489" s="112"/>
    </row>
    <row r="490" spans="2:47" hidden="1" x14ac:dyDescent="0.2">
      <c r="B490" s="112"/>
      <c r="C490" s="112"/>
      <c r="D490" s="112"/>
      <c r="F490" s="112"/>
      <c r="G490" s="112"/>
      <c r="H490" s="112"/>
      <c r="I490" s="112"/>
      <c r="J490" s="112"/>
      <c r="K490" s="112"/>
      <c r="L490" s="112"/>
      <c r="M490" s="112"/>
      <c r="N490" s="112"/>
      <c r="O490" s="112"/>
      <c r="P490" s="112"/>
      <c r="Q490" s="112"/>
      <c r="R490" s="112"/>
      <c r="S490" s="112"/>
      <c r="T490" s="112"/>
      <c r="U490" s="112"/>
      <c r="V490" s="209"/>
      <c r="W490" s="209"/>
      <c r="X490" s="209"/>
      <c r="Y490" s="112"/>
      <c r="AA490" s="112"/>
      <c r="AB490" s="112"/>
      <c r="AP490" s="112"/>
      <c r="AQ490" s="112"/>
      <c r="AR490" s="112"/>
      <c r="AS490" s="112"/>
      <c r="AT490" s="112"/>
      <c r="AU490" s="112"/>
    </row>
    <row r="491" spans="2:47" x14ac:dyDescent="0.2">
      <c r="B491" s="112"/>
      <c r="C491" s="112"/>
      <c r="D491" s="112"/>
      <c r="F491" s="112"/>
      <c r="G491" s="112"/>
      <c r="H491" s="112"/>
      <c r="I491" s="112"/>
      <c r="J491" s="112"/>
      <c r="K491" s="112"/>
      <c r="L491" s="112"/>
      <c r="M491" s="112"/>
      <c r="N491" s="112"/>
      <c r="O491" s="112"/>
      <c r="P491" s="112"/>
      <c r="Q491" s="112"/>
      <c r="R491" s="112"/>
      <c r="S491" s="112"/>
      <c r="T491" s="112"/>
      <c r="U491" s="112"/>
      <c r="V491" s="209"/>
      <c r="W491" s="209"/>
      <c r="X491" s="209"/>
      <c r="Y491" s="112"/>
      <c r="AA491" s="112"/>
      <c r="AB491" s="112"/>
      <c r="AP491" s="112"/>
      <c r="AQ491" s="112"/>
      <c r="AR491" s="112"/>
      <c r="AS491" s="112"/>
      <c r="AT491" s="112"/>
      <c r="AU491" s="112"/>
    </row>
    <row r="492" spans="2:47" x14ac:dyDescent="0.2">
      <c r="B492" s="112"/>
      <c r="C492" s="112"/>
      <c r="D492" s="112"/>
      <c r="F492" s="112"/>
      <c r="G492" s="112"/>
      <c r="H492" s="112"/>
      <c r="I492" s="112"/>
      <c r="J492" s="112"/>
      <c r="K492" s="112"/>
      <c r="L492" s="112"/>
      <c r="M492" s="112"/>
      <c r="N492" s="112"/>
      <c r="O492" s="112"/>
      <c r="P492" s="112"/>
      <c r="Q492" s="112"/>
      <c r="R492" s="112"/>
      <c r="S492" s="112"/>
      <c r="T492" s="112"/>
      <c r="U492" s="112"/>
      <c r="V492" s="209"/>
      <c r="W492" s="209"/>
      <c r="X492" s="209"/>
      <c r="Y492" s="112"/>
      <c r="AA492" s="112"/>
      <c r="AB492" s="112"/>
      <c r="AP492" s="112"/>
      <c r="AQ492" s="112"/>
      <c r="AR492" s="112"/>
      <c r="AS492" s="112"/>
      <c r="AT492" s="112"/>
      <c r="AU492" s="112"/>
    </row>
    <row r="493" spans="2:47" x14ac:dyDescent="0.2">
      <c r="B493" s="112"/>
      <c r="C493" s="112"/>
      <c r="D493" s="112"/>
      <c r="F493" s="112"/>
      <c r="G493" s="112"/>
      <c r="H493" s="112"/>
      <c r="I493" s="112"/>
      <c r="J493" s="112"/>
      <c r="K493" s="112"/>
      <c r="L493" s="112"/>
      <c r="M493" s="112"/>
      <c r="N493" s="112"/>
      <c r="O493" s="112"/>
      <c r="P493" s="112"/>
      <c r="Q493" s="112"/>
      <c r="R493" s="112"/>
      <c r="S493" s="112"/>
      <c r="T493" s="112"/>
      <c r="U493" s="112"/>
      <c r="V493" s="209"/>
      <c r="W493" s="209"/>
      <c r="X493" s="209"/>
      <c r="Y493" s="112"/>
      <c r="AA493" s="112"/>
      <c r="AB493" s="112"/>
      <c r="AP493" s="112"/>
      <c r="AQ493" s="112"/>
      <c r="AR493" s="112"/>
      <c r="AS493" s="112"/>
      <c r="AT493" s="112"/>
      <c r="AU493" s="112"/>
    </row>
    <row r="494" spans="2:47" x14ac:dyDescent="0.2">
      <c r="B494" s="112"/>
      <c r="C494" s="112"/>
      <c r="D494" s="112"/>
      <c r="F494" s="112"/>
      <c r="G494" s="112"/>
      <c r="H494" s="112"/>
      <c r="I494" s="112"/>
      <c r="J494" s="112"/>
      <c r="K494" s="112"/>
      <c r="L494" s="112"/>
      <c r="M494" s="112"/>
      <c r="N494" s="112"/>
      <c r="O494" s="112"/>
      <c r="P494" s="112"/>
      <c r="Q494" s="112"/>
      <c r="R494" s="112"/>
      <c r="S494" s="112"/>
      <c r="T494" s="112"/>
      <c r="U494" s="112"/>
      <c r="V494" s="209"/>
      <c r="W494" s="209"/>
      <c r="X494" s="209"/>
      <c r="Y494" s="112"/>
      <c r="AA494" s="112"/>
      <c r="AB494" s="112"/>
      <c r="AP494" s="112"/>
      <c r="AQ494" s="112"/>
      <c r="AR494" s="112"/>
      <c r="AS494" s="112"/>
      <c r="AT494" s="112"/>
      <c r="AU494" s="112"/>
    </row>
    <row r="495" spans="2:47" x14ac:dyDescent="0.2">
      <c r="B495" s="112"/>
      <c r="C495" s="112"/>
      <c r="D495" s="112"/>
      <c r="F495" s="112"/>
      <c r="G495" s="112"/>
      <c r="H495" s="112"/>
      <c r="I495" s="112"/>
      <c r="J495" s="112"/>
      <c r="K495" s="112"/>
      <c r="L495" s="112"/>
      <c r="M495" s="112"/>
      <c r="N495" s="112"/>
      <c r="O495" s="112"/>
      <c r="P495" s="112"/>
      <c r="Q495" s="112"/>
      <c r="R495" s="112"/>
      <c r="S495" s="112"/>
      <c r="T495" s="112"/>
      <c r="U495" s="112"/>
      <c r="V495" s="209"/>
      <c r="W495" s="209"/>
      <c r="X495" s="209"/>
      <c r="Y495" s="112"/>
      <c r="AA495" s="112"/>
      <c r="AB495" s="112"/>
      <c r="AP495" s="112"/>
      <c r="AQ495" s="112"/>
      <c r="AR495" s="112"/>
      <c r="AS495" s="112"/>
      <c r="AT495" s="112"/>
      <c r="AU495" s="112"/>
    </row>
    <row r="496" spans="2:47" x14ac:dyDescent="0.2">
      <c r="B496" s="112"/>
      <c r="C496" s="112"/>
      <c r="D496" s="112"/>
      <c r="F496" s="112"/>
      <c r="G496" s="112"/>
      <c r="H496" s="112"/>
      <c r="I496" s="112"/>
      <c r="J496" s="112"/>
      <c r="K496" s="112"/>
      <c r="L496" s="112"/>
      <c r="M496" s="112"/>
      <c r="N496" s="112"/>
      <c r="O496" s="112"/>
      <c r="P496" s="112"/>
      <c r="Q496" s="112"/>
      <c r="R496" s="112"/>
      <c r="S496" s="112"/>
      <c r="T496" s="112"/>
      <c r="U496" s="112"/>
      <c r="V496" s="209"/>
      <c r="W496" s="209"/>
      <c r="X496" s="209"/>
      <c r="Y496" s="112"/>
      <c r="AA496" s="112"/>
      <c r="AB496" s="112"/>
      <c r="AP496" s="112"/>
      <c r="AQ496" s="112"/>
      <c r="AR496" s="112"/>
      <c r="AS496" s="112"/>
      <c r="AT496" s="112"/>
      <c r="AU496" s="112"/>
    </row>
    <row r="497" spans="2:47" x14ac:dyDescent="0.2">
      <c r="B497" s="112"/>
      <c r="C497" s="112"/>
      <c r="D497" s="112"/>
      <c r="F497" s="112"/>
      <c r="G497" s="112"/>
      <c r="H497" s="112"/>
      <c r="I497" s="112"/>
      <c r="J497" s="112"/>
      <c r="K497" s="112"/>
      <c r="L497" s="112"/>
      <c r="M497" s="112"/>
      <c r="N497" s="112"/>
      <c r="O497" s="112"/>
      <c r="P497" s="112"/>
      <c r="Q497" s="112"/>
      <c r="R497" s="112"/>
      <c r="S497" s="112"/>
      <c r="T497" s="112"/>
      <c r="U497" s="112"/>
      <c r="V497" s="209"/>
      <c r="W497" s="209"/>
      <c r="X497" s="209"/>
      <c r="Y497" s="112"/>
      <c r="AA497" s="112"/>
      <c r="AB497" s="112"/>
      <c r="AP497" s="112"/>
      <c r="AQ497" s="112"/>
      <c r="AR497" s="112"/>
      <c r="AS497" s="112"/>
      <c r="AT497" s="112"/>
      <c r="AU497" s="112"/>
    </row>
    <row r="498" spans="2:47" x14ac:dyDescent="0.2">
      <c r="B498" s="112"/>
      <c r="C498" s="112"/>
      <c r="D498" s="112"/>
      <c r="F498" s="112"/>
      <c r="G498" s="112"/>
      <c r="H498" s="112"/>
      <c r="I498" s="112"/>
      <c r="J498" s="112"/>
      <c r="K498" s="112"/>
      <c r="L498" s="112"/>
      <c r="M498" s="112"/>
      <c r="N498" s="112"/>
      <c r="O498" s="112"/>
      <c r="P498" s="112"/>
      <c r="Q498" s="112"/>
      <c r="R498" s="112"/>
      <c r="S498" s="112"/>
      <c r="T498" s="112"/>
      <c r="U498" s="112"/>
      <c r="V498" s="209"/>
      <c r="W498" s="209"/>
      <c r="X498" s="209"/>
      <c r="Y498" s="112"/>
      <c r="AA498" s="112"/>
      <c r="AB498" s="112"/>
      <c r="AP498" s="112"/>
      <c r="AQ498" s="112"/>
      <c r="AR498" s="112"/>
      <c r="AS498" s="112"/>
      <c r="AT498" s="112"/>
      <c r="AU498" s="112"/>
    </row>
    <row r="499" spans="2:47" x14ac:dyDescent="0.2">
      <c r="B499" s="112"/>
      <c r="C499" s="112"/>
      <c r="D499" s="112"/>
      <c r="F499" s="112"/>
      <c r="G499" s="112"/>
      <c r="H499" s="112"/>
      <c r="I499" s="112"/>
      <c r="J499" s="112"/>
      <c r="K499" s="112"/>
      <c r="L499" s="112"/>
      <c r="M499" s="112"/>
      <c r="N499" s="112"/>
      <c r="O499" s="112"/>
      <c r="P499" s="112"/>
      <c r="Q499" s="112"/>
      <c r="R499" s="112"/>
      <c r="S499" s="112"/>
      <c r="T499" s="112"/>
      <c r="U499" s="112"/>
      <c r="V499" s="209"/>
      <c r="W499" s="209"/>
      <c r="X499" s="209"/>
      <c r="Y499" s="112"/>
      <c r="AA499" s="112"/>
      <c r="AB499" s="112"/>
      <c r="AP499" s="112"/>
      <c r="AQ499" s="112"/>
      <c r="AR499" s="112"/>
      <c r="AS499" s="112"/>
      <c r="AT499" s="112"/>
      <c r="AU499" s="112"/>
    </row>
    <row r="500" spans="2:47" x14ac:dyDescent="0.2">
      <c r="B500" s="112"/>
      <c r="C500" s="112"/>
      <c r="D500" s="112"/>
      <c r="F500" s="112"/>
      <c r="G500" s="112"/>
      <c r="H500" s="112"/>
      <c r="I500" s="112"/>
      <c r="J500" s="112"/>
      <c r="K500" s="112"/>
      <c r="L500" s="112"/>
      <c r="M500" s="112"/>
      <c r="N500" s="112"/>
      <c r="O500" s="112"/>
      <c r="P500" s="112"/>
      <c r="Q500" s="112"/>
      <c r="R500" s="112"/>
      <c r="S500" s="112"/>
      <c r="T500" s="112"/>
      <c r="U500" s="112"/>
      <c r="V500" s="209"/>
      <c r="W500" s="209"/>
      <c r="X500" s="209"/>
      <c r="Y500" s="112"/>
      <c r="AA500" s="112"/>
      <c r="AB500" s="112"/>
      <c r="AP500" s="112"/>
      <c r="AQ500" s="112"/>
      <c r="AR500" s="112"/>
      <c r="AS500" s="112"/>
      <c r="AT500" s="112"/>
      <c r="AU500" s="112"/>
    </row>
    <row r="501" spans="2:47" x14ac:dyDescent="0.2">
      <c r="B501" s="112"/>
      <c r="C501" s="112"/>
      <c r="D501" s="112"/>
      <c r="F501" s="112"/>
      <c r="G501" s="112"/>
      <c r="H501" s="112"/>
      <c r="I501" s="112"/>
      <c r="J501" s="112"/>
      <c r="K501" s="112"/>
      <c r="L501" s="112"/>
      <c r="M501" s="112"/>
      <c r="N501" s="112"/>
      <c r="O501" s="112"/>
      <c r="P501" s="112"/>
      <c r="Q501" s="112"/>
      <c r="R501" s="112"/>
      <c r="S501" s="112"/>
      <c r="T501" s="112"/>
      <c r="U501" s="112"/>
      <c r="V501" s="209"/>
      <c r="W501" s="209"/>
      <c r="X501" s="209"/>
      <c r="Y501" s="112"/>
      <c r="AA501" s="112"/>
      <c r="AB501" s="112"/>
      <c r="AP501" s="112"/>
      <c r="AQ501" s="112"/>
      <c r="AR501" s="112"/>
      <c r="AS501" s="112"/>
      <c r="AT501" s="112"/>
      <c r="AU501" s="112"/>
    </row>
    <row r="502" spans="2:47" x14ac:dyDescent="0.2">
      <c r="B502" s="112"/>
      <c r="C502" s="112"/>
      <c r="D502" s="112"/>
      <c r="F502" s="112"/>
      <c r="G502" s="112"/>
      <c r="H502" s="112"/>
      <c r="I502" s="112"/>
      <c r="J502" s="112"/>
      <c r="K502" s="112"/>
      <c r="L502" s="112"/>
      <c r="M502" s="112"/>
      <c r="N502" s="112"/>
      <c r="O502" s="112"/>
      <c r="P502" s="112"/>
      <c r="Q502" s="112"/>
      <c r="R502" s="112"/>
      <c r="S502" s="112"/>
      <c r="T502" s="112"/>
      <c r="U502" s="112"/>
      <c r="V502" s="209"/>
      <c r="W502" s="209"/>
      <c r="X502" s="209"/>
      <c r="Y502" s="112"/>
      <c r="AA502" s="112"/>
      <c r="AB502" s="112"/>
      <c r="AP502" s="112"/>
      <c r="AQ502" s="112"/>
      <c r="AR502" s="112"/>
      <c r="AS502" s="112"/>
      <c r="AT502" s="112"/>
      <c r="AU502" s="112"/>
    </row>
    <row r="503" spans="2:47" x14ac:dyDescent="0.2">
      <c r="B503" s="112"/>
      <c r="C503" s="112"/>
      <c r="D503" s="112"/>
      <c r="F503" s="112"/>
      <c r="G503" s="112"/>
      <c r="H503" s="112"/>
      <c r="I503" s="112"/>
      <c r="J503" s="112"/>
      <c r="K503" s="112"/>
      <c r="L503" s="112"/>
      <c r="M503" s="112"/>
      <c r="N503" s="112"/>
      <c r="O503" s="112"/>
      <c r="P503" s="112"/>
      <c r="Q503" s="112"/>
      <c r="R503" s="112"/>
      <c r="S503" s="112"/>
      <c r="T503" s="112"/>
      <c r="U503" s="112"/>
      <c r="AA503" s="112"/>
      <c r="AB503" s="112"/>
      <c r="AP503" s="112"/>
      <c r="AQ503" s="112"/>
      <c r="AR503" s="112"/>
      <c r="AS503" s="112"/>
      <c r="AT503" s="112"/>
      <c r="AU503" s="112"/>
    </row>
    <row r="504" spans="2:47" x14ac:dyDescent="0.2">
      <c r="B504" s="112"/>
      <c r="C504" s="112"/>
    </row>
    <row r="505" spans="2:47" x14ac:dyDescent="0.2">
      <c r="B505" s="112"/>
      <c r="C505" s="112"/>
    </row>
    <row r="506" spans="2:47" x14ac:dyDescent="0.2">
      <c r="B506" s="112"/>
      <c r="C506" s="112"/>
    </row>
    <row r="507" spans="2:47" x14ac:dyDescent="0.2">
      <c r="B507" s="112"/>
      <c r="C507" s="112"/>
    </row>
    <row r="508" spans="2:47" x14ac:dyDescent="0.2">
      <c r="B508" s="112"/>
      <c r="C508" s="112"/>
    </row>
    <row r="509" spans="2:47" x14ac:dyDescent="0.2">
      <c r="B509" s="112"/>
      <c r="C509" s="112"/>
    </row>
    <row r="510" spans="2:47" x14ac:dyDescent="0.2">
      <c r="B510" s="112"/>
      <c r="C510" s="112"/>
    </row>
    <row r="511" spans="2:47" ht="13" customHeight="1" x14ac:dyDescent="0.2">
      <c r="B511" s="112"/>
      <c r="C511" s="112"/>
    </row>
    <row r="512" spans="2:47" x14ac:dyDescent="0.2">
      <c r="B512" s="112"/>
      <c r="C512" s="112"/>
    </row>
    <row r="513" spans="2:3" x14ac:dyDescent="0.2">
      <c r="B513" s="112"/>
      <c r="C513" s="112"/>
    </row>
    <row r="514" spans="2:3" x14ac:dyDescent="0.2">
      <c r="B514" s="112"/>
      <c r="C514" s="112"/>
    </row>
    <row r="515" spans="2:3" x14ac:dyDescent="0.2">
      <c r="B515" s="112"/>
      <c r="C515" s="112"/>
    </row>
    <row r="516" spans="2:3" x14ac:dyDescent="0.2">
      <c r="B516" s="112"/>
      <c r="C516" s="112"/>
    </row>
    <row r="517" spans="2:3" x14ac:dyDescent="0.2">
      <c r="B517" s="112"/>
      <c r="C517" s="112"/>
    </row>
    <row r="518" spans="2:3" x14ac:dyDescent="0.2">
      <c r="B518" s="112"/>
      <c r="C518" s="112"/>
    </row>
    <row r="519" spans="2:3" x14ac:dyDescent="0.2">
      <c r="B519" s="112"/>
      <c r="C519" s="112"/>
    </row>
    <row r="520" spans="2:3" x14ac:dyDescent="0.2">
      <c r="B520" s="112"/>
      <c r="C520" s="112"/>
    </row>
    <row r="521" spans="2:3" x14ac:dyDescent="0.2">
      <c r="B521" s="112"/>
      <c r="C521" s="112"/>
    </row>
    <row r="522" spans="2:3" x14ac:dyDescent="0.2">
      <c r="B522" s="112"/>
      <c r="C522" s="112"/>
    </row>
    <row r="523" spans="2:3" x14ac:dyDescent="0.2">
      <c r="B523" s="112"/>
      <c r="C523" s="112"/>
    </row>
    <row r="524" spans="2:3" x14ac:dyDescent="0.2">
      <c r="B524" s="112"/>
      <c r="C524" s="112"/>
    </row>
    <row r="525" spans="2:3" x14ac:dyDescent="0.2">
      <c r="B525" s="112"/>
      <c r="C525" s="112"/>
    </row>
    <row r="526" spans="2:3" x14ac:dyDescent="0.2">
      <c r="B526" s="112"/>
      <c r="C526" s="112"/>
    </row>
    <row r="527" spans="2:3" x14ac:dyDescent="0.2">
      <c r="B527" s="112"/>
      <c r="C527" s="112"/>
    </row>
    <row r="528" spans="2:3" x14ac:dyDescent="0.2">
      <c r="B528" s="112"/>
      <c r="C528" s="112"/>
    </row>
    <row r="529" spans="2:3" x14ac:dyDescent="0.2">
      <c r="B529" s="112"/>
      <c r="C529" s="112"/>
    </row>
    <row r="530" spans="2:3" x14ac:dyDescent="0.2">
      <c r="B530" s="112"/>
      <c r="C530" s="112"/>
    </row>
    <row r="531" spans="2:3" x14ac:dyDescent="0.2">
      <c r="B531" s="112"/>
      <c r="C531" s="112"/>
    </row>
    <row r="532" spans="2:3" x14ac:dyDescent="0.2">
      <c r="B532" s="112"/>
      <c r="C532" s="112"/>
    </row>
    <row r="533" spans="2:3" x14ac:dyDescent="0.2">
      <c r="B533" s="112"/>
      <c r="C533" s="112"/>
    </row>
    <row r="534" spans="2:3" x14ac:dyDescent="0.2">
      <c r="B534" s="112"/>
      <c r="C534" s="112"/>
    </row>
    <row r="535" spans="2:3" x14ac:dyDescent="0.2">
      <c r="B535" s="112"/>
      <c r="C535" s="112"/>
    </row>
    <row r="536" spans="2:3" x14ac:dyDescent="0.2">
      <c r="B536" s="112"/>
      <c r="C536" s="112"/>
    </row>
    <row r="537" spans="2:3" x14ac:dyDescent="0.2">
      <c r="B537" s="112"/>
      <c r="C537" s="112"/>
    </row>
    <row r="538" spans="2:3" x14ac:dyDescent="0.2">
      <c r="B538" s="112"/>
      <c r="C538" s="112"/>
    </row>
    <row r="539" spans="2:3" x14ac:dyDescent="0.2">
      <c r="B539" s="112"/>
      <c r="C539" s="112"/>
    </row>
    <row r="540" spans="2:3" x14ac:dyDescent="0.2">
      <c r="B540" s="112"/>
      <c r="C540" s="112"/>
    </row>
    <row r="541" spans="2:3" x14ac:dyDescent="0.2">
      <c r="B541" s="112"/>
      <c r="C541" s="112"/>
    </row>
    <row r="542" spans="2:3" x14ac:dyDescent="0.2">
      <c r="B542" s="112"/>
      <c r="C542" s="112"/>
    </row>
    <row r="543" spans="2:3" x14ac:dyDescent="0.2">
      <c r="B543" s="112"/>
      <c r="C543" s="112"/>
    </row>
    <row r="544" spans="2:3" x14ac:dyDescent="0.2">
      <c r="B544" s="112"/>
      <c r="C544" s="112"/>
    </row>
    <row r="545" spans="2:3" x14ac:dyDescent="0.2">
      <c r="B545" s="112"/>
      <c r="C545" s="112"/>
    </row>
    <row r="546" spans="2:3" x14ac:dyDescent="0.2">
      <c r="B546" s="112"/>
      <c r="C546" s="112"/>
    </row>
    <row r="547" spans="2:3" x14ac:dyDescent="0.2">
      <c r="B547" s="112"/>
      <c r="C547" s="112"/>
    </row>
    <row r="548" spans="2:3" x14ac:dyDescent="0.2">
      <c r="B548" s="112"/>
      <c r="C548" s="112"/>
    </row>
    <row r="549" spans="2:3" x14ac:dyDescent="0.2">
      <c r="B549" s="112"/>
      <c r="C549" s="112"/>
    </row>
    <row r="550" spans="2:3" x14ac:dyDescent="0.2">
      <c r="B550" s="112"/>
      <c r="C550" s="112"/>
    </row>
    <row r="551" spans="2:3" x14ac:dyDescent="0.2">
      <c r="B551" s="112"/>
      <c r="C551" s="112"/>
    </row>
    <row r="552" spans="2:3" x14ac:dyDescent="0.2">
      <c r="B552" s="112"/>
      <c r="C552" s="112"/>
    </row>
    <row r="553" spans="2:3" x14ac:dyDescent="0.2">
      <c r="B553" s="112"/>
      <c r="C553" s="112"/>
    </row>
    <row r="554" spans="2:3" x14ac:dyDescent="0.2">
      <c r="B554" s="112"/>
      <c r="C554" s="112"/>
    </row>
    <row r="555" spans="2:3" x14ac:dyDescent="0.2">
      <c r="B555" s="112"/>
      <c r="C555" s="112"/>
    </row>
  </sheetData>
  <sheetProtection algorithmName="SHA-512" hashValue="2CJpgOsXaLsCajoO4mnLcsyML6dLowqkHpcqFb9DKd8MCVEZA1LLBDHQPxyyoy6ybEAqoV8Ixnv1/GYl0Z4ZLA==" saltValue="Alg9eMscFQxAWtY/qtjQ3A==" spinCount="100000" sheet="1" selectLockedCells="1"/>
  <customSheetViews>
    <customSheetView guid="{4EE4166A-A743-EA44-9468-B79C8EBEBE02}" scale="150" printArea="1">
      <selection activeCell="AC24" sqref="AC24"/>
      <pageMargins left="0.5" right="0.5" top="0.5" bottom="0.5" header="0.5" footer="0.5"/>
      <printOptions horizontalCentered="1" verticalCentered="1"/>
      <pageSetup scale="75" fitToWidth="3" fitToHeight="3" orientation="portrait" horizontalDpi="300" verticalDpi="300"/>
      <headerFooter alignWithMargins="0"/>
    </customSheetView>
  </customSheetViews>
  <mergeCells count="15">
    <mergeCell ref="AD38:AH39"/>
    <mergeCell ref="AA2:AS2"/>
    <mergeCell ref="AD6:AH7"/>
    <mergeCell ref="AF19:AH21"/>
    <mergeCell ref="AF27:AH28"/>
    <mergeCell ref="AF16:AG17"/>
    <mergeCell ref="AJ35:AL36"/>
    <mergeCell ref="AA3:AS3"/>
    <mergeCell ref="AA27:AB28"/>
    <mergeCell ref="AA4:AB5"/>
    <mergeCell ref="B8:B11"/>
    <mergeCell ref="C8:C11"/>
    <mergeCell ref="D8:D11"/>
    <mergeCell ref="AD35:AH35"/>
    <mergeCell ref="AD36:AH37"/>
  </mergeCells>
  <phoneticPr fontId="4" type="noConversion"/>
  <printOptions horizontalCentered="1" verticalCentered="1"/>
  <pageMargins left="0.5" right="0.5" top="0.5" bottom="0.5" header="0.5" footer="0.5"/>
  <pageSetup scale="75" fitToWidth="3" fitToHeight="3" orientation="portrait" horizontalDpi="300" verticalDpi="300"/>
  <headerFooter alignWithMargins="0"/>
  <ignoredErrors>
    <ignoredError sqref="O459" formula="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82D88-7404-BC4D-B2EC-08133A3496DA}">
  <sheetPr codeName="Sheet6"/>
  <dimension ref="A1:J240"/>
  <sheetViews>
    <sheetView workbookViewId="0">
      <selection activeCell="D8" sqref="D8"/>
    </sheetView>
  </sheetViews>
  <sheetFormatPr baseColWidth="10" defaultColWidth="11.42578125" defaultRowHeight="14" x14ac:dyDescent="0.2"/>
  <cols>
    <col min="2" max="2" width="17.85546875" customWidth="1"/>
    <col min="3" max="3" width="53.5703125" style="380" customWidth="1"/>
    <col min="4" max="4" width="46.28515625" style="381" customWidth="1"/>
    <col min="8" max="8" width="25" style="2" customWidth="1"/>
    <col min="9" max="9" width="42.140625" customWidth="1"/>
  </cols>
  <sheetData>
    <row r="1" spans="1:9" x14ac:dyDescent="0.2">
      <c r="A1" s="467" t="s">
        <v>299</v>
      </c>
      <c r="B1" s="467"/>
    </row>
    <row r="2" spans="1:9" x14ac:dyDescent="0.2">
      <c r="A2" s="1" t="s">
        <v>323</v>
      </c>
      <c r="B2">
        <v>3</v>
      </c>
    </row>
    <row r="3" spans="1:9" x14ac:dyDescent="0.2">
      <c r="A3" s="1" t="s">
        <v>300</v>
      </c>
      <c r="B3">
        <v>4</v>
      </c>
    </row>
    <row r="6" spans="1:9" x14ac:dyDescent="0.2">
      <c r="A6" s="466" t="s">
        <v>301</v>
      </c>
      <c r="B6" s="466"/>
      <c r="C6" s="466"/>
      <c r="D6" s="466"/>
    </row>
    <row r="7" spans="1:9" ht="15" x14ac:dyDescent="0.2">
      <c r="A7" s="1" t="s">
        <v>303</v>
      </c>
      <c r="B7" s="1" t="s">
        <v>302</v>
      </c>
      <c r="C7" s="382" t="s">
        <v>304</v>
      </c>
      <c r="D7" s="383" t="s">
        <v>300</v>
      </c>
    </row>
    <row r="8" spans="1:9" ht="15" x14ac:dyDescent="0.2">
      <c r="A8">
        <v>1</v>
      </c>
      <c r="B8" s="1" t="s">
        <v>305</v>
      </c>
      <c r="C8" s="382" t="s">
        <v>675</v>
      </c>
      <c r="D8" s="383" t="s">
        <v>675</v>
      </c>
    </row>
    <row r="9" spans="1:9" ht="45" x14ac:dyDescent="0.2">
      <c r="A9">
        <v>2</v>
      </c>
      <c r="C9" s="382" t="s">
        <v>346</v>
      </c>
      <c r="D9" s="382" t="s">
        <v>584</v>
      </c>
      <c r="E9" s="94"/>
      <c r="F9" s="94"/>
      <c r="G9" s="94"/>
      <c r="H9" s="155"/>
      <c r="I9" s="94"/>
    </row>
    <row r="10" spans="1:9" ht="60" x14ac:dyDescent="0.2">
      <c r="A10">
        <v>3</v>
      </c>
      <c r="C10" s="382" t="s">
        <v>582</v>
      </c>
      <c r="D10" s="382" t="s">
        <v>585</v>
      </c>
      <c r="E10" s="94"/>
      <c r="F10" s="94"/>
      <c r="G10" s="94"/>
      <c r="H10" s="155"/>
      <c r="I10" s="94"/>
    </row>
    <row r="11" spans="1:9" ht="15" x14ac:dyDescent="0.2">
      <c r="A11" s="150">
        <v>4</v>
      </c>
      <c r="C11" s="382" t="s">
        <v>217</v>
      </c>
      <c r="D11" s="382" t="s">
        <v>347</v>
      </c>
      <c r="E11" s="94"/>
      <c r="F11" s="94"/>
      <c r="G11" s="94"/>
      <c r="H11" s="155"/>
      <c r="I11" s="94"/>
    </row>
    <row r="12" spans="1:9" ht="15" x14ac:dyDescent="0.2">
      <c r="A12" s="150">
        <v>5</v>
      </c>
      <c r="C12" s="382" t="s">
        <v>307</v>
      </c>
      <c r="D12" s="383" t="s">
        <v>344</v>
      </c>
    </row>
    <row r="13" spans="1:9" ht="15" x14ac:dyDescent="0.2">
      <c r="A13" s="150">
        <v>6</v>
      </c>
      <c r="C13" s="382" t="s">
        <v>216</v>
      </c>
      <c r="D13" s="382" t="s">
        <v>342</v>
      </c>
    </row>
    <row r="14" spans="1:9" ht="15" x14ac:dyDescent="0.2">
      <c r="A14" s="150">
        <v>7</v>
      </c>
      <c r="C14" s="382" t="s">
        <v>289</v>
      </c>
      <c r="D14" s="382" t="s">
        <v>343</v>
      </c>
    </row>
    <row r="15" spans="1:9" ht="15" x14ac:dyDescent="0.2">
      <c r="A15" s="150">
        <v>8</v>
      </c>
      <c r="C15" s="382" t="s">
        <v>350</v>
      </c>
      <c r="D15" s="383" t="s">
        <v>349</v>
      </c>
    </row>
    <row r="16" spans="1:9" ht="15" x14ac:dyDescent="0.2">
      <c r="A16" s="150">
        <v>9</v>
      </c>
      <c r="C16" s="382" t="s">
        <v>298</v>
      </c>
      <c r="D16" s="382" t="s">
        <v>345</v>
      </c>
    </row>
    <row r="17" spans="1:4" ht="15" x14ac:dyDescent="0.2">
      <c r="A17" s="150">
        <v>10</v>
      </c>
      <c r="C17" s="382" t="s">
        <v>365</v>
      </c>
      <c r="D17" s="382" t="s">
        <v>366</v>
      </c>
    </row>
    <row r="18" spans="1:4" ht="15" x14ac:dyDescent="0.2">
      <c r="A18" s="150">
        <v>11</v>
      </c>
      <c r="C18" s="382" t="s">
        <v>367</v>
      </c>
      <c r="D18" s="382" t="s">
        <v>401</v>
      </c>
    </row>
    <row r="19" spans="1:4" ht="15" x14ac:dyDescent="0.2">
      <c r="A19" s="150">
        <v>12</v>
      </c>
      <c r="C19" s="382" t="s">
        <v>402</v>
      </c>
      <c r="D19" s="382" t="s">
        <v>434</v>
      </c>
    </row>
    <row r="20" spans="1:4" ht="15" x14ac:dyDescent="0.2">
      <c r="A20" s="150">
        <v>13</v>
      </c>
      <c r="C20" s="382" t="s">
        <v>215</v>
      </c>
      <c r="D20" s="382" t="s">
        <v>362</v>
      </c>
    </row>
    <row r="21" spans="1:4" ht="15" x14ac:dyDescent="0.2">
      <c r="A21" s="150">
        <v>14</v>
      </c>
      <c r="C21" s="382" t="s">
        <v>213</v>
      </c>
      <c r="D21" s="382" t="s">
        <v>363</v>
      </c>
    </row>
    <row r="22" spans="1:4" ht="15" x14ac:dyDescent="0.2">
      <c r="A22" s="150">
        <v>15</v>
      </c>
      <c r="C22" s="382" t="s">
        <v>214</v>
      </c>
      <c r="D22" s="382" t="s">
        <v>364</v>
      </c>
    </row>
    <row r="23" spans="1:4" ht="15" x14ac:dyDescent="0.2">
      <c r="A23" s="150">
        <v>16</v>
      </c>
      <c r="C23" s="382" t="s">
        <v>199</v>
      </c>
      <c r="D23" s="382" t="s">
        <v>351</v>
      </c>
    </row>
    <row r="24" spans="1:4" ht="15" x14ac:dyDescent="0.2">
      <c r="A24" s="150">
        <v>17</v>
      </c>
      <c r="C24" s="382" t="s">
        <v>284</v>
      </c>
      <c r="D24" s="382" t="s">
        <v>352</v>
      </c>
    </row>
    <row r="25" spans="1:4" ht="15" x14ac:dyDescent="0.2">
      <c r="A25" s="150">
        <v>18</v>
      </c>
      <c r="C25" s="382" t="s">
        <v>476</v>
      </c>
      <c r="D25" s="382" t="s">
        <v>567</v>
      </c>
    </row>
    <row r="26" spans="1:4" ht="15" x14ac:dyDescent="0.2">
      <c r="A26" s="150">
        <v>19</v>
      </c>
      <c r="C26" s="382" t="s">
        <v>206</v>
      </c>
      <c r="D26" s="382" t="s">
        <v>206</v>
      </c>
    </row>
    <row r="27" spans="1:4" ht="15" x14ac:dyDescent="0.2">
      <c r="A27" s="150">
        <v>20</v>
      </c>
      <c r="C27" s="382" t="s">
        <v>358</v>
      </c>
      <c r="D27" s="382" t="s">
        <v>403</v>
      </c>
    </row>
    <row r="28" spans="1:4" ht="15" x14ac:dyDescent="0.2">
      <c r="A28" s="150">
        <v>21</v>
      </c>
      <c r="C28" s="382" t="s">
        <v>354</v>
      </c>
      <c r="D28" s="382" t="s">
        <v>353</v>
      </c>
    </row>
    <row r="29" spans="1:4" ht="15" x14ac:dyDescent="0.2">
      <c r="A29" s="150">
        <v>22</v>
      </c>
      <c r="C29" s="382" t="s">
        <v>369</v>
      </c>
      <c r="D29" s="382" t="s">
        <v>368</v>
      </c>
    </row>
    <row r="30" spans="1:4" ht="15" x14ac:dyDescent="0.2">
      <c r="A30" s="150">
        <v>23</v>
      </c>
      <c r="C30" s="382" t="s">
        <v>371</v>
      </c>
      <c r="D30" s="382" t="s">
        <v>370</v>
      </c>
    </row>
    <row r="31" spans="1:4" ht="15" x14ac:dyDescent="0.2">
      <c r="A31" s="150">
        <v>24</v>
      </c>
      <c r="C31" s="382" t="s">
        <v>202</v>
      </c>
      <c r="D31" s="382" t="s">
        <v>355</v>
      </c>
    </row>
    <row r="32" spans="1:4" ht="15" x14ac:dyDescent="0.2">
      <c r="A32" s="150">
        <v>25</v>
      </c>
      <c r="C32" s="382" t="s">
        <v>575</v>
      </c>
      <c r="D32" s="382" t="s">
        <v>567</v>
      </c>
    </row>
    <row r="33" spans="1:4" ht="15" x14ac:dyDescent="0.2">
      <c r="A33" s="150">
        <v>26</v>
      </c>
      <c r="C33" s="382" t="s">
        <v>569</v>
      </c>
      <c r="D33" s="382" t="s">
        <v>570</v>
      </c>
    </row>
    <row r="34" spans="1:4" ht="15" x14ac:dyDescent="0.2">
      <c r="A34" s="150">
        <v>27</v>
      </c>
      <c r="C34" s="382" t="s">
        <v>357</v>
      </c>
      <c r="D34" s="382" t="s">
        <v>356</v>
      </c>
    </row>
    <row r="35" spans="1:4" ht="15" x14ac:dyDescent="0.2">
      <c r="A35" s="150">
        <v>28</v>
      </c>
      <c r="C35" s="382" t="s">
        <v>358</v>
      </c>
      <c r="D35" s="382" t="s">
        <v>403</v>
      </c>
    </row>
    <row r="36" spans="1:4" ht="15" x14ac:dyDescent="0.2">
      <c r="A36" s="150">
        <v>29</v>
      </c>
      <c r="C36" s="382" t="s">
        <v>287</v>
      </c>
      <c r="D36" s="382" t="s">
        <v>359</v>
      </c>
    </row>
    <row r="37" spans="1:4" ht="15" x14ac:dyDescent="0.2">
      <c r="A37" s="150">
        <v>30</v>
      </c>
      <c r="C37" s="382" t="s">
        <v>361</v>
      </c>
      <c r="D37" s="382" t="s">
        <v>360</v>
      </c>
    </row>
    <row r="38" spans="1:4" ht="15" x14ac:dyDescent="0.2">
      <c r="A38" s="150">
        <v>31</v>
      </c>
      <c r="C38" s="382" t="s">
        <v>573</v>
      </c>
      <c r="D38" s="382" t="s">
        <v>572</v>
      </c>
    </row>
    <row r="39" spans="1:4" ht="15" x14ac:dyDescent="0.2">
      <c r="A39" s="150">
        <v>32</v>
      </c>
      <c r="C39" s="382" t="s">
        <v>589</v>
      </c>
      <c r="D39" s="382" t="s">
        <v>590</v>
      </c>
    </row>
    <row r="40" spans="1:4" ht="15" x14ac:dyDescent="0.2">
      <c r="A40" s="150">
        <v>33</v>
      </c>
      <c r="C40" s="384" t="s">
        <v>648</v>
      </c>
      <c r="D40" s="384" t="s">
        <v>650</v>
      </c>
    </row>
    <row r="41" spans="1:4" ht="17" x14ac:dyDescent="0.2">
      <c r="A41" s="150">
        <v>34</v>
      </c>
      <c r="C41" s="385" t="s">
        <v>649</v>
      </c>
      <c r="D41" s="386" t="s">
        <v>651</v>
      </c>
    </row>
    <row r="42" spans="1:4" ht="15" x14ac:dyDescent="0.2">
      <c r="A42" s="150">
        <v>35</v>
      </c>
      <c r="C42" s="384" t="s">
        <v>579</v>
      </c>
      <c r="D42" s="382" t="s">
        <v>580</v>
      </c>
    </row>
    <row r="43" spans="1:4" ht="45" x14ac:dyDescent="0.2">
      <c r="A43" s="150">
        <v>36</v>
      </c>
      <c r="C43" s="384" t="s">
        <v>657</v>
      </c>
      <c r="D43" s="382" t="s">
        <v>658</v>
      </c>
    </row>
    <row r="44" spans="1:4" ht="45" x14ac:dyDescent="0.2">
      <c r="A44" s="150">
        <v>37</v>
      </c>
      <c r="C44" s="384" t="s">
        <v>647</v>
      </c>
      <c r="D44" s="382" t="s">
        <v>632</v>
      </c>
    </row>
    <row r="45" spans="1:4" ht="15" x14ac:dyDescent="0.2">
      <c r="A45" s="150">
        <v>38</v>
      </c>
      <c r="C45" s="382" t="s">
        <v>323</v>
      </c>
      <c r="D45" s="383" t="s">
        <v>300</v>
      </c>
    </row>
    <row r="46" spans="1:4" x14ac:dyDescent="0.2">
      <c r="A46" s="150">
        <v>39</v>
      </c>
      <c r="C46" s="387" t="s">
        <v>321</v>
      </c>
      <c r="D46" s="387" t="s">
        <v>322</v>
      </c>
    </row>
    <row r="47" spans="1:4" x14ac:dyDescent="0.2">
      <c r="A47" s="150">
        <v>40</v>
      </c>
      <c r="C47" s="387" t="s">
        <v>242</v>
      </c>
      <c r="D47" s="387" t="s">
        <v>242</v>
      </c>
    </row>
    <row r="48" spans="1:4" x14ac:dyDescent="0.2">
      <c r="A48" s="150">
        <v>41</v>
      </c>
      <c r="C48" s="387" t="s">
        <v>244</v>
      </c>
      <c r="D48" s="387" t="s">
        <v>244</v>
      </c>
    </row>
    <row r="49" spans="1:10" ht="15" x14ac:dyDescent="0.2">
      <c r="A49" s="150">
        <v>42</v>
      </c>
      <c r="C49" s="382" t="s">
        <v>324</v>
      </c>
      <c r="D49" s="382" t="s">
        <v>325</v>
      </c>
    </row>
    <row r="50" spans="1:10" s="150" customFormat="1" ht="15" x14ac:dyDescent="0.2">
      <c r="A50" s="150">
        <v>43</v>
      </c>
      <c r="C50" s="382" t="s">
        <v>443</v>
      </c>
      <c r="D50" s="382" t="s">
        <v>444</v>
      </c>
      <c r="H50" s="2"/>
    </row>
    <row r="51" spans="1:10" s="150" customFormat="1" ht="15" x14ac:dyDescent="0.2">
      <c r="A51" s="150">
        <v>44</v>
      </c>
      <c r="C51" s="380" t="s">
        <v>490</v>
      </c>
      <c r="D51" s="382" t="s">
        <v>564</v>
      </c>
      <c r="H51" s="2"/>
    </row>
    <row r="52" spans="1:10" s="150" customFormat="1" ht="15" x14ac:dyDescent="0.2">
      <c r="A52" s="150">
        <v>45</v>
      </c>
      <c r="C52" s="380" t="s">
        <v>467</v>
      </c>
      <c r="D52" s="382" t="s">
        <v>468</v>
      </c>
      <c r="H52" s="2"/>
    </row>
    <row r="53" spans="1:10" s="150" customFormat="1" ht="15" x14ac:dyDescent="0.2">
      <c r="A53" s="150">
        <v>46</v>
      </c>
      <c r="B53" s="220"/>
      <c r="C53" s="380" t="s">
        <v>473</v>
      </c>
      <c r="D53" s="382" t="s">
        <v>571</v>
      </c>
      <c r="E53" s="220"/>
      <c r="H53" s="2"/>
    </row>
    <row r="54" spans="1:10" s="150" customFormat="1" ht="15" x14ac:dyDescent="0.2">
      <c r="A54" s="150">
        <v>47</v>
      </c>
      <c r="B54" s="220"/>
      <c r="C54" s="380" t="s">
        <v>469</v>
      </c>
      <c r="D54" s="382" t="s">
        <v>533</v>
      </c>
      <c r="E54" s="220"/>
      <c r="H54" s="2"/>
    </row>
    <row r="55" spans="1:10" s="150" customFormat="1" ht="15" x14ac:dyDescent="0.2">
      <c r="A55" s="150">
        <v>48</v>
      </c>
      <c r="B55" s="220"/>
      <c r="C55" s="380" t="s">
        <v>470</v>
      </c>
      <c r="D55" s="382" t="s">
        <v>534</v>
      </c>
      <c r="E55" s="220"/>
      <c r="H55" s="2"/>
    </row>
    <row r="56" spans="1:10" s="150" customFormat="1" ht="15" x14ac:dyDescent="0.2">
      <c r="A56" s="150">
        <v>49</v>
      </c>
      <c r="B56" s="220"/>
      <c r="C56" s="380" t="s">
        <v>471</v>
      </c>
      <c r="D56" s="382" t="s">
        <v>535</v>
      </c>
      <c r="E56" s="220"/>
      <c r="H56" s="2"/>
    </row>
    <row r="57" spans="1:10" s="150" customFormat="1" ht="15" x14ac:dyDescent="0.2">
      <c r="A57" s="150">
        <v>50</v>
      </c>
      <c r="B57" s="220"/>
      <c r="C57" s="380" t="s">
        <v>472</v>
      </c>
      <c r="D57" s="382" t="s">
        <v>472</v>
      </c>
      <c r="E57" s="220"/>
      <c r="H57" s="2"/>
    </row>
    <row r="58" spans="1:10" s="150" customFormat="1" ht="15" x14ac:dyDescent="0.2">
      <c r="A58" s="150">
        <v>51</v>
      </c>
      <c r="B58" s="220"/>
      <c r="C58" s="380" t="s">
        <v>576</v>
      </c>
      <c r="D58" s="382" t="s">
        <v>636</v>
      </c>
      <c r="E58" s="220"/>
      <c r="H58" s="2"/>
    </row>
    <row r="59" spans="1:10" s="150" customFormat="1" x14ac:dyDescent="0.2">
      <c r="A59" s="150">
        <v>52</v>
      </c>
      <c r="C59" s="380"/>
      <c r="D59" s="380"/>
      <c r="H59" s="2"/>
    </row>
    <row r="60" spans="1:10" x14ac:dyDescent="0.2">
      <c r="A60" s="468" t="s">
        <v>308</v>
      </c>
      <c r="B60" s="468"/>
      <c r="C60" s="468"/>
      <c r="D60" s="468"/>
    </row>
    <row r="61" spans="1:10" ht="15" x14ac:dyDescent="0.2">
      <c r="A61" s="1" t="s">
        <v>303</v>
      </c>
      <c r="B61" s="204" t="s">
        <v>302</v>
      </c>
      <c r="C61" s="382" t="s">
        <v>304</v>
      </c>
      <c r="D61" s="383" t="s">
        <v>300</v>
      </c>
    </row>
    <row r="62" spans="1:10" ht="16" x14ac:dyDescent="0.2">
      <c r="A62">
        <v>1</v>
      </c>
      <c r="B62" s="205"/>
      <c r="C62" s="382" t="s">
        <v>675</v>
      </c>
      <c r="D62" s="383" t="s">
        <v>675</v>
      </c>
    </row>
    <row r="63" spans="1:10" ht="97" customHeight="1" x14ac:dyDescent="0.2">
      <c r="A63">
        <v>2</v>
      </c>
      <c r="B63" s="205"/>
      <c r="C63" s="382" t="s">
        <v>442</v>
      </c>
      <c r="D63" s="382" t="s">
        <v>631</v>
      </c>
      <c r="E63" s="150"/>
      <c r="F63" s="150"/>
      <c r="G63" s="150"/>
      <c r="I63" s="150"/>
      <c r="J63" s="150"/>
    </row>
    <row r="64" spans="1:10" ht="16" x14ac:dyDescent="0.2">
      <c r="A64" s="150">
        <v>3</v>
      </c>
      <c r="B64" s="205"/>
      <c r="C64" s="382" t="s">
        <v>217</v>
      </c>
      <c r="D64" s="383" t="s">
        <v>347</v>
      </c>
      <c r="E64" s="150"/>
      <c r="F64" s="150"/>
      <c r="G64" s="150"/>
      <c r="I64" s="150"/>
      <c r="J64" s="150"/>
    </row>
    <row r="65" spans="1:4" ht="30" x14ac:dyDescent="0.2">
      <c r="A65" s="150">
        <v>4</v>
      </c>
      <c r="B65" s="205"/>
      <c r="C65" s="388" t="s">
        <v>661</v>
      </c>
      <c r="D65" s="388" t="s">
        <v>662</v>
      </c>
    </row>
    <row r="66" spans="1:4" ht="16" x14ac:dyDescent="0.2">
      <c r="A66" s="150">
        <v>5</v>
      </c>
      <c r="B66" s="205"/>
      <c r="C66" s="382" t="s">
        <v>369</v>
      </c>
      <c r="D66" s="383" t="s">
        <v>368</v>
      </c>
    </row>
    <row r="67" spans="1:4" ht="16" x14ac:dyDescent="0.2">
      <c r="A67" s="150">
        <v>6</v>
      </c>
      <c r="B67" s="205"/>
      <c r="C67" s="382" t="s">
        <v>371</v>
      </c>
      <c r="D67" s="382" t="s">
        <v>370</v>
      </c>
    </row>
    <row r="68" spans="1:4" ht="16" x14ac:dyDescent="0.2">
      <c r="A68" s="150">
        <v>7</v>
      </c>
      <c r="B68" s="205"/>
      <c r="C68" s="382" t="s">
        <v>476</v>
      </c>
      <c r="D68" s="382" t="s">
        <v>474</v>
      </c>
    </row>
    <row r="69" spans="1:4" ht="16" x14ac:dyDescent="0.2">
      <c r="A69" s="150">
        <v>8</v>
      </c>
      <c r="B69" s="205"/>
      <c r="C69" s="382" t="s">
        <v>477</v>
      </c>
      <c r="D69" s="383" t="s">
        <v>475</v>
      </c>
    </row>
    <row r="70" spans="1:4" ht="16" x14ac:dyDescent="0.2">
      <c r="A70" s="150">
        <v>9</v>
      </c>
      <c r="B70" s="205"/>
      <c r="C70" s="382" t="s">
        <v>204</v>
      </c>
      <c r="D70" s="383" t="s">
        <v>372</v>
      </c>
    </row>
    <row r="71" spans="1:4" ht="16" x14ac:dyDescent="0.2">
      <c r="A71" s="150">
        <v>10</v>
      </c>
      <c r="B71" s="205"/>
      <c r="C71" s="382" t="s">
        <v>205</v>
      </c>
      <c r="D71" s="383" t="s">
        <v>373</v>
      </c>
    </row>
    <row r="72" spans="1:4" ht="16" x14ac:dyDescent="0.2">
      <c r="A72" s="150">
        <v>11</v>
      </c>
      <c r="B72" s="205"/>
      <c r="C72" s="382" t="s">
        <v>374</v>
      </c>
      <c r="D72" s="382" t="s">
        <v>375</v>
      </c>
    </row>
    <row r="73" spans="1:4" ht="16" x14ac:dyDescent="0.2">
      <c r="A73" s="150">
        <v>12</v>
      </c>
      <c r="B73" s="205"/>
      <c r="C73" s="382" t="s">
        <v>206</v>
      </c>
      <c r="D73" s="382" t="s">
        <v>206</v>
      </c>
    </row>
    <row r="74" spans="1:4" ht="16" x14ac:dyDescent="0.2">
      <c r="A74" s="150">
        <v>13</v>
      </c>
      <c r="B74" s="205"/>
      <c r="C74" s="382" t="s">
        <v>435</v>
      </c>
      <c r="D74" s="383" t="s">
        <v>439</v>
      </c>
    </row>
    <row r="75" spans="1:4" ht="16" x14ac:dyDescent="0.2">
      <c r="A75" s="150">
        <v>14</v>
      </c>
      <c r="B75" s="205"/>
      <c r="C75" s="382" t="s">
        <v>488</v>
      </c>
      <c r="D75" s="383" t="s">
        <v>489</v>
      </c>
    </row>
    <row r="76" spans="1:4" ht="16" x14ac:dyDescent="0.2">
      <c r="A76" s="150">
        <v>15</v>
      </c>
      <c r="B76" s="205"/>
      <c r="C76" s="382" t="s">
        <v>487</v>
      </c>
      <c r="D76" s="383" t="s">
        <v>486</v>
      </c>
    </row>
    <row r="77" spans="1:4" ht="16" x14ac:dyDescent="0.2">
      <c r="A77" s="150">
        <v>16</v>
      </c>
      <c r="B77" s="205"/>
      <c r="C77" s="382" t="s">
        <v>436</v>
      </c>
      <c r="D77" s="383" t="s">
        <v>440</v>
      </c>
    </row>
    <row r="78" spans="1:4" ht="16" x14ac:dyDescent="0.2">
      <c r="A78" s="150">
        <v>17</v>
      </c>
      <c r="B78" s="205"/>
      <c r="C78" s="382" t="s">
        <v>437</v>
      </c>
      <c r="D78" s="383" t="s">
        <v>441</v>
      </c>
    </row>
    <row r="79" spans="1:4" ht="16" x14ac:dyDescent="0.2">
      <c r="A79" s="150">
        <v>18</v>
      </c>
      <c r="B79" s="205"/>
      <c r="C79" s="382" t="s">
        <v>591</v>
      </c>
      <c r="D79" s="383" t="s">
        <v>592</v>
      </c>
    </row>
    <row r="80" spans="1:4" ht="16" x14ac:dyDescent="0.2">
      <c r="A80" s="150">
        <v>19</v>
      </c>
      <c r="B80" s="205"/>
      <c r="C80" s="382" t="s">
        <v>207</v>
      </c>
      <c r="D80" s="383" t="s">
        <v>376</v>
      </c>
    </row>
    <row r="81" spans="1:6" ht="16" x14ac:dyDescent="0.2">
      <c r="A81" s="150">
        <v>20</v>
      </c>
      <c r="B81" s="205"/>
      <c r="C81" s="382" t="s">
        <v>463</v>
      </c>
      <c r="D81" s="382" t="s">
        <v>463</v>
      </c>
    </row>
    <row r="82" spans="1:6" ht="16" x14ac:dyDescent="0.2">
      <c r="A82" s="150">
        <v>21</v>
      </c>
      <c r="B82" s="205"/>
      <c r="C82" s="382" t="s">
        <v>208</v>
      </c>
      <c r="D82" s="382" t="s">
        <v>377</v>
      </c>
    </row>
    <row r="83" spans="1:6" ht="16" x14ac:dyDescent="0.2">
      <c r="A83" s="150">
        <v>22</v>
      </c>
      <c r="B83" s="205"/>
      <c r="C83" s="382" t="s">
        <v>462</v>
      </c>
      <c r="D83" s="382" t="s">
        <v>462</v>
      </c>
    </row>
    <row r="84" spans="1:6" ht="16" x14ac:dyDescent="0.2">
      <c r="A84" s="150">
        <v>23</v>
      </c>
      <c r="B84" s="205"/>
      <c r="C84" s="382" t="s">
        <v>210</v>
      </c>
      <c r="D84" s="382" t="s">
        <v>586</v>
      </c>
    </row>
    <row r="85" spans="1:6" ht="16" x14ac:dyDescent="0.2">
      <c r="A85" s="150">
        <v>24</v>
      </c>
      <c r="B85" s="205"/>
      <c r="C85" s="382" t="s">
        <v>429</v>
      </c>
      <c r="D85" s="382" t="s">
        <v>430</v>
      </c>
    </row>
    <row r="86" spans="1:6" ht="16" x14ac:dyDescent="0.2">
      <c r="A86" s="150">
        <v>25</v>
      </c>
      <c r="B86" s="205"/>
      <c r="C86" s="382" t="s">
        <v>378</v>
      </c>
      <c r="D86" s="382" t="s">
        <v>404</v>
      </c>
    </row>
    <row r="87" spans="1:6" ht="16" x14ac:dyDescent="0.2">
      <c r="A87" s="150">
        <v>26</v>
      </c>
      <c r="B87" s="205"/>
      <c r="C87" s="382" t="s">
        <v>379</v>
      </c>
      <c r="D87" s="382" t="s">
        <v>380</v>
      </c>
    </row>
    <row r="88" spans="1:6" ht="16" x14ac:dyDescent="0.2">
      <c r="A88" s="150">
        <v>27</v>
      </c>
      <c r="B88" s="205"/>
      <c r="C88" s="382" t="s">
        <v>405</v>
      </c>
      <c r="D88" s="382" t="s">
        <v>406</v>
      </c>
    </row>
    <row r="89" spans="1:6" ht="16" x14ac:dyDescent="0.2">
      <c r="A89" s="150">
        <v>28</v>
      </c>
      <c r="B89" s="205"/>
      <c r="C89" s="382" t="s">
        <v>209</v>
      </c>
      <c r="D89" s="382" t="s">
        <v>381</v>
      </c>
    </row>
    <row r="90" spans="1:6" ht="16" x14ac:dyDescent="0.2">
      <c r="A90" s="150">
        <v>29</v>
      </c>
      <c r="B90" s="205"/>
      <c r="C90" s="382" t="s">
        <v>438</v>
      </c>
      <c r="D90" s="382" t="s">
        <v>375</v>
      </c>
    </row>
    <row r="91" spans="1:6" ht="16" x14ac:dyDescent="0.2">
      <c r="A91" s="150">
        <v>30</v>
      </c>
      <c r="B91" s="205"/>
      <c r="C91" s="382" t="s">
        <v>378</v>
      </c>
      <c r="D91" s="382" t="s">
        <v>404</v>
      </c>
    </row>
    <row r="92" spans="1:6" ht="16" x14ac:dyDescent="0.2">
      <c r="A92" s="150">
        <v>31</v>
      </c>
      <c r="B92" s="205"/>
      <c r="C92" s="382" t="s">
        <v>379</v>
      </c>
      <c r="D92" s="382" t="s">
        <v>380</v>
      </c>
    </row>
    <row r="93" spans="1:6" ht="16" x14ac:dyDescent="0.2">
      <c r="A93" s="150">
        <v>32</v>
      </c>
      <c r="B93" s="205"/>
      <c r="C93" s="382" t="s">
        <v>405</v>
      </c>
      <c r="D93" s="382" t="s">
        <v>406</v>
      </c>
    </row>
    <row r="94" spans="1:6" ht="16" x14ac:dyDescent="0.2">
      <c r="A94" s="150">
        <v>33</v>
      </c>
      <c r="B94" s="205"/>
      <c r="C94" s="382" t="s">
        <v>540</v>
      </c>
      <c r="D94" s="382" t="s">
        <v>541</v>
      </c>
    </row>
    <row r="95" spans="1:6" ht="16" x14ac:dyDescent="0.2">
      <c r="A95" s="150">
        <v>34</v>
      </c>
      <c r="B95" s="205"/>
      <c r="C95" s="382" t="s">
        <v>382</v>
      </c>
      <c r="D95" s="383" t="s">
        <v>383</v>
      </c>
      <c r="E95" s="150"/>
      <c r="F95" s="150"/>
    </row>
    <row r="96" spans="1:6" ht="16" x14ac:dyDescent="0.2">
      <c r="A96" s="150">
        <v>35</v>
      </c>
      <c r="B96" s="205"/>
      <c r="C96" s="382" t="s">
        <v>288</v>
      </c>
      <c r="D96" s="383" t="s">
        <v>348</v>
      </c>
      <c r="E96" s="150"/>
      <c r="F96" s="150"/>
    </row>
    <row r="97" spans="1:6" ht="30" x14ac:dyDescent="0.2">
      <c r="A97" s="150">
        <v>36</v>
      </c>
      <c r="B97" s="205"/>
      <c r="C97" s="382" t="s">
        <v>457</v>
      </c>
      <c r="D97" s="382" t="s">
        <v>635</v>
      </c>
      <c r="E97" s="150"/>
      <c r="F97" s="150"/>
    </row>
    <row r="98" spans="1:6" ht="16" x14ac:dyDescent="0.2">
      <c r="A98" s="150">
        <v>37</v>
      </c>
      <c r="B98" s="205"/>
      <c r="C98" s="382" t="s">
        <v>593</v>
      </c>
      <c r="D98" s="383" t="s">
        <v>594</v>
      </c>
    </row>
    <row r="99" spans="1:6" ht="30" x14ac:dyDescent="0.2">
      <c r="A99" s="150">
        <v>38</v>
      </c>
      <c r="B99" s="205"/>
      <c r="C99" s="382" t="s">
        <v>583</v>
      </c>
      <c r="D99" s="382" t="s">
        <v>407</v>
      </c>
    </row>
    <row r="100" spans="1:6" ht="30" x14ac:dyDescent="0.2">
      <c r="A100" s="150">
        <v>39</v>
      </c>
      <c r="B100" s="205"/>
      <c r="C100" s="382" t="s">
        <v>566</v>
      </c>
      <c r="D100" s="382" t="s">
        <v>565</v>
      </c>
    </row>
    <row r="101" spans="1:6" ht="16" x14ac:dyDescent="0.2">
      <c r="A101" s="150">
        <v>40</v>
      </c>
      <c r="B101" s="205"/>
      <c r="C101" s="382" t="s">
        <v>200</v>
      </c>
      <c r="D101" s="383" t="s">
        <v>384</v>
      </c>
    </row>
    <row r="102" spans="1:6" ht="16" x14ac:dyDescent="0.2">
      <c r="A102" s="150">
        <v>41</v>
      </c>
      <c r="B102" s="205"/>
      <c r="C102" s="382" t="s">
        <v>402</v>
      </c>
      <c r="D102" s="383" t="s">
        <v>431</v>
      </c>
    </row>
    <row r="103" spans="1:6" ht="16" x14ac:dyDescent="0.2">
      <c r="A103" s="150">
        <v>42</v>
      </c>
      <c r="B103" s="205"/>
      <c r="C103" s="382" t="s">
        <v>215</v>
      </c>
      <c r="D103" s="382" t="s">
        <v>362</v>
      </c>
    </row>
    <row r="104" spans="1:6" ht="16" x14ac:dyDescent="0.2">
      <c r="A104" s="150">
        <v>43</v>
      </c>
      <c r="B104" s="205"/>
      <c r="C104" s="382" t="s">
        <v>213</v>
      </c>
      <c r="D104" s="382" t="s">
        <v>363</v>
      </c>
    </row>
    <row r="105" spans="1:6" ht="16" x14ac:dyDescent="0.2">
      <c r="A105" s="150">
        <v>44</v>
      </c>
      <c r="B105" s="205"/>
      <c r="C105" s="382" t="s">
        <v>214</v>
      </c>
      <c r="D105" s="382" t="s">
        <v>364</v>
      </c>
    </row>
    <row r="106" spans="1:6" ht="16" x14ac:dyDescent="0.2">
      <c r="A106" s="150">
        <v>45</v>
      </c>
      <c r="B106" s="205"/>
      <c r="C106" s="382" t="s">
        <v>199</v>
      </c>
      <c r="D106" s="382" t="s">
        <v>351</v>
      </c>
    </row>
    <row r="107" spans="1:6" ht="16" x14ac:dyDescent="0.2">
      <c r="A107" s="150">
        <v>46</v>
      </c>
      <c r="B107" s="205"/>
      <c r="C107" s="382" t="s">
        <v>283</v>
      </c>
      <c r="D107" s="382" t="s">
        <v>352</v>
      </c>
    </row>
    <row r="108" spans="1:6" ht="16" x14ac:dyDescent="0.2">
      <c r="A108" s="150">
        <v>47</v>
      </c>
      <c r="B108" s="205"/>
      <c r="C108" s="382" t="s">
        <v>574</v>
      </c>
      <c r="D108" s="382" t="s">
        <v>567</v>
      </c>
    </row>
    <row r="109" spans="1:6" ht="16" x14ac:dyDescent="0.2">
      <c r="A109" s="150">
        <v>48</v>
      </c>
      <c r="B109" s="205"/>
      <c r="C109" s="382" t="s">
        <v>211</v>
      </c>
      <c r="D109" s="382" t="s">
        <v>408</v>
      </c>
    </row>
    <row r="110" spans="1:6" ht="16" x14ac:dyDescent="0.2">
      <c r="A110" s="150">
        <v>49</v>
      </c>
      <c r="B110" s="205"/>
      <c r="C110" s="382" t="s">
        <v>201</v>
      </c>
      <c r="D110" s="382" t="s">
        <v>353</v>
      </c>
    </row>
    <row r="111" spans="1:6" ht="16" x14ac:dyDescent="0.2">
      <c r="A111" s="150">
        <v>50</v>
      </c>
      <c r="B111" s="205"/>
      <c r="C111" s="382" t="s">
        <v>402</v>
      </c>
      <c r="D111" s="383" t="s">
        <v>409</v>
      </c>
    </row>
    <row r="112" spans="1:6" ht="16" x14ac:dyDescent="0.2">
      <c r="A112" s="150">
        <v>51</v>
      </c>
      <c r="B112" s="205"/>
      <c r="C112" s="382" t="s">
        <v>369</v>
      </c>
      <c r="D112" s="382" t="s">
        <v>368</v>
      </c>
    </row>
    <row r="113" spans="1:9" ht="16" x14ac:dyDescent="0.2">
      <c r="A113" s="150">
        <v>52</v>
      </c>
      <c r="B113" s="205"/>
      <c r="C113" s="382" t="s">
        <v>656</v>
      </c>
      <c r="D113" s="382" t="s">
        <v>370</v>
      </c>
    </row>
    <row r="114" spans="1:9" ht="16" x14ac:dyDescent="0.2">
      <c r="A114" s="150">
        <v>53</v>
      </c>
      <c r="B114" s="205"/>
      <c r="C114" s="382" t="s">
        <v>202</v>
      </c>
      <c r="D114" s="382" t="s">
        <v>355</v>
      </c>
    </row>
    <row r="115" spans="1:9" ht="16" x14ac:dyDescent="0.2">
      <c r="A115" s="150">
        <v>54</v>
      </c>
      <c r="B115" s="205"/>
      <c r="C115" s="382" t="s">
        <v>379</v>
      </c>
      <c r="D115" s="382" t="s">
        <v>380</v>
      </c>
    </row>
    <row r="116" spans="1:9" ht="16" x14ac:dyDescent="0.2">
      <c r="A116" s="150">
        <v>55</v>
      </c>
      <c r="B116" s="205"/>
      <c r="C116" s="382" t="s">
        <v>211</v>
      </c>
      <c r="D116" s="382" t="s">
        <v>408</v>
      </c>
    </row>
    <row r="117" spans="1:9" ht="16" x14ac:dyDescent="0.2">
      <c r="A117" s="150">
        <v>56</v>
      </c>
      <c r="B117" s="205"/>
      <c r="C117" s="382" t="s">
        <v>458</v>
      </c>
      <c r="D117" s="382" t="s">
        <v>588</v>
      </c>
    </row>
    <row r="118" spans="1:9" ht="45" customHeight="1" x14ac:dyDescent="0.2">
      <c r="A118" s="150">
        <v>57</v>
      </c>
      <c r="B118" s="205"/>
      <c r="C118" s="382" t="s">
        <v>652</v>
      </c>
      <c r="D118" s="382" t="s">
        <v>653</v>
      </c>
      <c r="F118" s="469"/>
      <c r="G118" s="469"/>
      <c r="H118" s="469"/>
      <c r="I118" s="469"/>
    </row>
    <row r="119" spans="1:9" ht="16" x14ac:dyDescent="0.2">
      <c r="A119" s="150">
        <v>58</v>
      </c>
      <c r="B119" s="205"/>
      <c r="C119" s="384" t="s">
        <v>648</v>
      </c>
      <c r="D119" s="384" t="s">
        <v>650</v>
      </c>
      <c r="H119" s="155"/>
      <c r="I119" s="201"/>
    </row>
    <row r="120" spans="1:9" ht="17" x14ac:dyDescent="0.2">
      <c r="A120" s="150">
        <v>59</v>
      </c>
      <c r="B120" s="205"/>
      <c r="C120" s="385" t="s">
        <v>649</v>
      </c>
      <c r="D120" s="386" t="s">
        <v>651</v>
      </c>
      <c r="H120" s="156"/>
      <c r="I120" s="156"/>
    </row>
    <row r="121" spans="1:9" ht="16" x14ac:dyDescent="0.2">
      <c r="A121" s="150">
        <v>60</v>
      </c>
      <c r="B121" s="205"/>
      <c r="C121" s="384" t="s">
        <v>579</v>
      </c>
      <c r="D121" s="382" t="s">
        <v>580</v>
      </c>
      <c r="H121" s="155"/>
      <c r="I121" s="201"/>
    </row>
    <row r="122" spans="1:9" ht="45" x14ac:dyDescent="0.2">
      <c r="A122" s="150">
        <v>61</v>
      </c>
      <c r="B122" s="205"/>
      <c r="C122" s="384" t="s">
        <v>655</v>
      </c>
      <c r="D122" s="382" t="s">
        <v>654</v>
      </c>
      <c r="H122" s="156"/>
      <c r="I122" s="156"/>
    </row>
    <row r="123" spans="1:9" ht="45" x14ac:dyDescent="0.2">
      <c r="A123" s="150">
        <v>62</v>
      </c>
      <c r="B123" s="205"/>
      <c r="C123" s="384" t="s">
        <v>647</v>
      </c>
      <c r="D123" s="382" t="s">
        <v>632</v>
      </c>
      <c r="H123" s="156"/>
      <c r="I123" s="156"/>
    </row>
    <row r="124" spans="1:9" ht="51" x14ac:dyDescent="0.2">
      <c r="A124" s="150">
        <v>63</v>
      </c>
      <c r="B124" s="205"/>
      <c r="C124" s="379" t="s">
        <v>659</v>
      </c>
      <c r="D124" s="389" t="s">
        <v>660</v>
      </c>
      <c r="H124" s="156"/>
      <c r="I124" s="156"/>
    </row>
    <row r="125" spans="1:9" ht="16" x14ac:dyDescent="0.2">
      <c r="A125" s="150">
        <v>64</v>
      </c>
      <c r="B125" s="205"/>
      <c r="D125" s="390"/>
    </row>
    <row r="126" spans="1:9" ht="16" x14ac:dyDescent="0.2">
      <c r="A126" s="150">
        <v>65</v>
      </c>
      <c r="B126" s="205"/>
      <c r="C126" s="391"/>
      <c r="D126" s="390"/>
    </row>
    <row r="127" spans="1:9" ht="16" x14ac:dyDescent="0.2">
      <c r="A127" s="150">
        <v>66</v>
      </c>
      <c r="B127" s="205"/>
      <c r="C127" s="391"/>
      <c r="D127" s="390"/>
    </row>
    <row r="128" spans="1:9" ht="16" x14ac:dyDescent="0.2">
      <c r="A128" s="150">
        <v>67</v>
      </c>
      <c r="B128" s="205"/>
      <c r="C128" s="382" t="s">
        <v>212</v>
      </c>
      <c r="D128" s="383" t="s">
        <v>385</v>
      </c>
    </row>
    <row r="129" spans="1:4" ht="16" x14ac:dyDescent="0.2">
      <c r="A129" s="150">
        <v>68</v>
      </c>
      <c r="B129" s="205"/>
      <c r="C129" s="382" t="s">
        <v>203</v>
      </c>
      <c r="D129" s="383" t="s">
        <v>351</v>
      </c>
    </row>
    <row r="130" spans="1:4" ht="30" x14ac:dyDescent="0.2">
      <c r="A130" s="150">
        <v>69</v>
      </c>
      <c r="B130" s="205"/>
      <c r="C130" s="382" t="s">
        <v>223</v>
      </c>
      <c r="D130" s="382" t="s">
        <v>633</v>
      </c>
    </row>
    <row r="131" spans="1:4" ht="30" x14ac:dyDescent="0.2">
      <c r="A131" s="150">
        <v>70</v>
      </c>
      <c r="B131" s="205"/>
      <c r="C131" s="382" t="s">
        <v>290</v>
      </c>
      <c r="D131" s="382" t="s">
        <v>410</v>
      </c>
    </row>
    <row r="132" spans="1:4" ht="16" x14ac:dyDescent="0.2">
      <c r="A132" s="150">
        <v>71</v>
      </c>
      <c r="B132" s="205"/>
      <c r="C132" s="382" t="s">
        <v>664</v>
      </c>
      <c r="D132" s="382" t="s">
        <v>663</v>
      </c>
    </row>
    <row r="133" spans="1:4" ht="16" x14ac:dyDescent="0.2">
      <c r="A133" s="150">
        <v>72</v>
      </c>
      <c r="B133" s="205"/>
      <c r="C133" s="382" t="s">
        <v>666</v>
      </c>
      <c r="D133" s="382" t="s">
        <v>665</v>
      </c>
    </row>
    <row r="134" spans="1:4" ht="16" x14ac:dyDescent="0.2">
      <c r="A134" s="150">
        <v>73</v>
      </c>
      <c r="B134" s="205"/>
      <c r="C134" s="391"/>
      <c r="D134" s="391"/>
    </row>
    <row r="135" spans="1:4" ht="16" x14ac:dyDescent="0.2">
      <c r="A135" s="150">
        <v>74</v>
      </c>
      <c r="B135" s="205"/>
      <c r="C135" s="382" t="s">
        <v>292</v>
      </c>
      <c r="D135" s="382" t="s">
        <v>386</v>
      </c>
    </row>
    <row r="136" spans="1:4" ht="16" x14ac:dyDescent="0.2">
      <c r="A136" s="150">
        <v>75</v>
      </c>
      <c r="B136" s="205"/>
      <c r="C136" s="382" t="s">
        <v>218</v>
      </c>
      <c r="D136" s="382" t="s">
        <v>634</v>
      </c>
    </row>
    <row r="137" spans="1:4" ht="16" x14ac:dyDescent="0.2">
      <c r="A137" s="150">
        <v>76</v>
      </c>
      <c r="B137" s="205"/>
      <c r="C137" s="382" t="s">
        <v>668</v>
      </c>
      <c r="D137" s="382" t="s">
        <v>669</v>
      </c>
    </row>
    <row r="138" spans="1:4" ht="16" x14ac:dyDescent="0.2">
      <c r="A138" s="150">
        <v>77</v>
      </c>
      <c r="B138" s="205"/>
      <c r="C138" s="382" t="s">
        <v>667</v>
      </c>
      <c r="D138" s="382" t="s">
        <v>670</v>
      </c>
    </row>
    <row r="139" spans="1:4" ht="16" x14ac:dyDescent="0.2">
      <c r="A139" s="150">
        <v>78</v>
      </c>
      <c r="B139" s="205"/>
      <c r="C139" s="382" t="s">
        <v>220</v>
      </c>
      <c r="D139" s="382" t="s">
        <v>387</v>
      </c>
    </row>
    <row r="140" spans="1:4" ht="16" x14ac:dyDescent="0.2">
      <c r="A140" s="150">
        <v>79</v>
      </c>
      <c r="B140" s="205"/>
      <c r="C140" s="382" t="s">
        <v>291</v>
      </c>
      <c r="D140" s="382" t="s">
        <v>388</v>
      </c>
    </row>
    <row r="141" spans="1:4" ht="16" x14ac:dyDescent="0.2">
      <c r="A141" s="150">
        <v>80</v>
      </c>
      <c r="B141" s="205"/>
      <c r="C141" s="382" t="s">
        <v>222</v>
      </c>
      <c r="D141" s="382" t="s">
        <v>587</v>
      </c>
    </row>
    <row r="142" spans="1:4" ht="16" x14ac:dyDescent="0.2">
      <c r="A142" s="150">
        <v>81</v>
      </c>
      <c r="B142" s="205"/>
      <c r="C142" s="382" t="s">
        <v>671</v>
      </c>
      <c r="D142" s="382" t="s">
        <v>674</v>
      </c>
    </row>
    <row r="143" spans="1:4" ht="16" x14ac:dyDescent="0.2">
      <c r="A143" s="150">
        <v>82</v>
      </c>
      <c r="B143" s="205"/>
      <c r="C143" s="382" t="s">
        <v>672</v>
      </c>
      <c r="D143" s="382" t="s">
        <v>673</v>
      </c>
    </row>
    <row r="144" spans="1:4" ht="16" x14ac:dyDescent="0.2">
      <c r="A144" s="150">
        <v>83</v>
      </c>
      <c r="B144" s="205"/>
      <c r="C144" s="382" t="s">
        <v>221</v>
      </c>
      <c r="D144" s="382" t="s">
        <v>389</v>
      </c>
    </row>
    <row r="145" spans="1:6" ht="16" x14ac:dyDescent="0.2">
      <c r="A145" s="150">
        <v>84</v>
      </c>
      <c r="B145" s="205"/>
      <c r="C145" s="391"/>
      <c r="D145" s="390"/>
    </row>
    <row r="146" spans="1:6" ht="16" x14ac:dyDescent="0.2">
      <c r="A146" s="150">
        <v>85</v>
      </c>
      <c r="B146" s="205"/>
      <c r="C146" s="382" t="s">
        <v>317</v>
      </c>
      <c r="D146" s="383" t="s">
        <v>318</v>
      </c>
      <c r="E146">
        <v>85</v>
      </c>
    </row>
    <row r="147" spans="1:6" ht="16" x14ac:dyDescent="0.2">
      <c r="A147" s="150">
        <v>86</v>
      </c>
      <c r="B147" s="205"/>
      <c r="C147" s="382" t="s">
        <v>319</v>
      </c>
      <c r="D147" s="383" t="s">
        <v>320</v>
      </c>
      <c r="E147">
        <v>86</v>
      </c>
    </row>
    <row r="148" spans="1:6" ht="16" x14ac:dyDescent="0.2">
      <c r="A148" s="150">
        <v>87</v>
      </c>
      <c r="B148" s="205"/>
      <c r="C148" s="382" t="s">
        <v>340</v>
      </c>
      <c r="D148" s="383" t="s">
        <v>390</v>
      </c>
    </row>
    <row r="149" spans="1:6" ht="16" x14ac:dyDescent="0.2">
      <c r="A149" s="150">
        <v>88</v>
      </c>
      <c r="B149" s="205"/>
      <c r="C149" s="382" t="s">
        <v>341</v>
      </c>
      <c r="D149" s="383" t="s">
        <v>400</v>
      </c>
    </row>
    <row r="150" spans="1:6" ht="16" x14ac:dyDescent="0.2">
      <c r="A150" s="150">
        <v>89</v>
      </c>
      <c r="B150" s="205"/>
      <c r="C150" s="391"/>
      <c r="D150" s="390"/>
      <c r="F150" s="150" t="str">
        <f>INDEX(StatText,105,3)</f>
        <v>Log-Sannsynlighetsplott og minste kvadratsums linjetilpassing</v>
      </c>
    </row>
    <row r="151" spans="1:6" ht="30" x14ac:dyDescent="0.2">
      <c r="A151" s="150">
        <v>90</v>
      </c>
      <c r="B151" s="205"/>
      <c r="C151" s="382" t="s">
        <v>581</v>
      </c>
      <c r="D151" s="382" t="s">
        <v>459</v>
      </c>
      <c r="E151" t="str">
        <f t="shared" ref="E151:E167" si="0">INDEX(StatText,A151,VLOOKUP(Lang,LangSelect,2,FALSE))</f>
        <v>Serieplott
(måledata benyttet uten korrigering av verdier under DG)</v>
      </c>
    </row>
    <row r="152" spans="1:6" ht="16" x14ac:dyDescent="0.2">
      <c r="A152" s="150">
        <v>91</v>
      </c>
      <c r="B152" s="205"/>
      <c r="C152" s="382" t="s">
        <v>309</v>
      </c>
      <c r="D152" s="383" t="s">
        <v>391</v>
      </c>
      <c r="E152" s="150" t="str">
        <f t="shared" si="0"/>
        <v>Konsentrasjon</v>
      </c>
    </row>
    <row r="153" spans="1:6" ht="16" x14ac:dyDescent="0.2">
      <c r="A153" s="150">
        <v>92</v>
      </c>
      <c r="B153" s="205"/>
      <c r="C153" s="382" t="s">
        <v>310</v>
      </c>
      <c r="D153" s="383" t="s">
        <v>392</v>
      </c>
      <c r="E153" s="150" t="str">
        <f t="shared" si="0"/>
        <v>Målenummer</v>
      </c>
    </row>
    <row r="154" spans="1:6" ht="16" x14ac:dyDescent="0.2">
      <c r="A154" s="150">
        <v>93</v>
      </c>
      <c r="B154" s="205"/>
      <c r="C154" s="382" t="s">
        <v>411</v>
      </c>
      <c r="D154" s="382" t="s">
        <v>461</v>
      </c>
      <c r="E154" s="150" t="str">
        <f t="shared" si="0"/>
        <v>Log-normalfordelingsplott</v>
      </c>
    </row>
    <row r="155" spans="1:6" ht="16" x14ac:dyDescent="0.2">
      <c r="A155" s="150">
        <v>94</v>
      </c>
      <c r="B155" s="205"/>
      <c r="C155" s="382" t="s">
        <v>645</v>
      </c>
      <c r="D155" s="382" t="s">
        <v>645</v>
      </c>
      <c r="E155" s="150" t="str">
        <f t="shared" si="0"/>
        <v>AM (MVUE)</v>
      </c>
    </row>
    <row r="156" spans="1:6" ht="16" x14ac:dyDescent="0.2">
      <c r="A156" s="150">
        <v>95</v>
      </c>
      <c r="B156" s="205"/>
      <c r="C156" s="382" t="s">
        <v>312</v>
      </c>
      <c r="D156" s="382" t="s">
        <v>312</v>
      </c>
      <c r="E156" s="150" t="str">
        <f t="shared" si="0"/>
        <v>95%il</v>
      </c>
    </row>
    <row r="157" spans="1:6" ht="16" x14ac:dyDescent="0.2">
      <c r="A157" s="150">
        <v>96</v>
      </c>
      <c r="B157" s="205"/>
      <c r="C157" s="382" t="s">
        <v>394</v>
      </c>
      <c r="D157" s="382" t="s">
        <v>393</v>
      </c>
      <c r="E157" s="150" t="str">
        <f t="shared" si="0"/>
        <v>EØK</v>
      </c>
    </row>
    <row r="158" spans="1:6" ht="16" x14ac:dyDescent="0.2">
      <c r="A158" s="150">
        <v>97</v>
      </c>
      <c r="B158" s="205"/>
      <c r="C158" s="382" t="s">
        <v>309</v>
      </c>
      <c r="D158" s="383" t="s">
        <v>391</v>
      </c>
      <c r="E158" s="150" t="str">
        <f t="shared" si="0"/>
        <v>Konsentrasjon</v>
      </c>
    </row>
    <row r="159" spans="1:6" ht="16" x14ac:dyDescent="0.2">
      <c r="A159" s="150">
        <v>98</v>
      </c>
      <c r="B159" s="205"/>
      <c r="C159" s="382" t="s">
        <v>412</v>
      </c>
      <c r="D159" s="382" t="s">
        <v>460</v>
      </c>
      <c r="E159" s="150" t="str">
        <f t="shared" si="0"/>
        <v>Normalfordelingsplott</v>
      </c>
    </row>
    <row r="160" spans="1:6" ht="16" x14ac:dyDescent="0.2">
      <c r="A160" s="150">
        <v>99</v>
      </c>
      <c r="B160" s="205"/>
      <c r="C160" s="382" t="s">
        <v>644</v>
      </c>
      <c r="D160" s="382" t="s">
        <v>645</v>
      </c>
      <c r="E160" s="150" t="str">
        <f t="shared" si="0"/>
        <v>AM  (MVUE)</v>
      </c>
    </row>
    <row r="161" spans="1:5" ht="16" x14ac:dyDescent="0.2">
      <c r="A161" s="150">
        <v>100</v>
      </c>
      <c r="B161" s="205"/>
      <c r="C161" s="382" t="s">
        <v>312</v>
      </c>
      <c r="D161" s="382" t="s">
        <v>312</v>
      </c>
      <c r="E161" s="150" t="str">
        <f t="shared" si="0"/>
        <v>95%il</v>
      </c>
    </row>
    <row r="162" spans="1:5" ht="16" x14ac:dyDescent="0.2">
      <c r="A162" s="150">
        <v>101</v>
      </c>
      <c r="B162" s="205"/>
      <c r="C162" s="382" t="s">
        <v>394</v>
      </c>
      <c r="D162" s="382" t="s">
        <v>393</v>
      </c>
      <c r="E162" s="150" t="str">
        <f t="shared" si="0"/>
        <v>EØK</v>
      </c>
    </row>
    <row r="163" spans="1:5" ht="16" x14ac:dyDescent="0.2">
      <c r="A163" s="150">
        <v>102</v>
      </c>
      <c r="B163" s="205"/>
      <c r="C163" s="382" t="s">
        <v>309</v>
      </c>
      <c r="D163" s="383" t="s">
        <v>391</v>
      </c>
      <c r="E163" s="150" t="str">
        <f t="shared" si="0"/>
        <v>Konsentrasjon</v>
      </c>
    </row>
    <row r="164" spans="1:5" ht="16" x14ac:dyDescent="0.2">
      <c r="A164" s="150">
        <v>103</v>
      </c>
      <c r="B164" s="205"/>
      <c r="C164" s="382" t="s">
        <v>433</v>
      </c>
      <c r="D164" s="382" t="s">
        <v>395</v>
      </c>
      <c r="E164" s="150" t="str">
        <f t="shared" si="0"/>
        <v>Sannsynlighetsplott og minste kvadratsums linjetilpassing</v>
      </c>
    </row>
    <row r="165" spans="1:5" ht="16" x14ac:dyDescent="0.2">
      <c r="A165" s="150">
        <v>104</v>
      </c>
      <c r="B165" s="205"/>
      <c r="C165" s="382" t="s">
        <v>309</v>
      </c>
      <c r="D165" s="383" t="s">
        <v>391</v>
      </c>
      <c r="E165" s="150" t="str">
        <f t="shared" si="0"/>
        <v>Konsentrasjon</v>
      </c>
    </row>
    <row r="166" spans="1:5" ht="16" x14ac:dyDescent="0.2">
      <c r="A166" s="150">
        <v>105</v>
      </c>
      <c r="B166" s="205"/>
      <c r="C166" s="382" t="s">
        <v>432</v>
      </c>
      <c r="D166" s="382" t="s">
        <v>396</v>
      </c>
      <c r="E166" s="150" t="str">
        <f t="shared" si="0"/>
        <v>Log-Sannsynlighetsplott og minste kvadratsums linjetilpassing</v>
      </c>
    </row>
    <row r="167" spans="1:5" ht="16" x14ac:dyDescent="0.2">
      <c r="A167" s="150">
        <v>106</v>
      </c>
      <c r="B167" s="205"/>
      <c r="C167" s="382" t="s">
        <v>309</v>
      </c>
      <c r="D167" s="383" t="s">
        <v>391</v>
      </c>
      <c r="E167" s="150" t="str">
        <f t="shared" si="0"/>
        <v>Konsentrasjon</v>
      </c>
    </row>
    <row r="168" spans="1:5" ht="16" x14ac:dyDescent="0.2">
      <c r="A168" s="150">
        <v>107</v>
      </c>
      <c r="B168" s="205"/>
      <c r="C168" s="391"/>
      <c r="D168" s="390"/>
      <c r="E168" s="150"/>
    </row>
    <row r="169" spans="1:5" ht="16" x14ac:dyDescent="0.2">
      <c r="A169" s="150">
        <v>108</v>
      </c>
      <c r="B169" s="205"/>
      <c r="C169" s="391"/>
      <c r="D169" s="390"/>
      <c r="E169" s="150"/>
    </row>
    <row r="170" spans="1:5" ht="16" x14ac:dyDescent="0.2">
      <c r="A170" s="150"/>
      <c r="B170" s="205"/>
      <c r="C170" s="382" t="s">
        <v>413</v>
      </c>
      <c r="D170" s="383" t="s">
        <v>414</v>
      </c>
      <c r="E170" s="150"/>
    </row>
    <row r="171" spans="1:5" ht="15" x14ac:dyDescent="0.2">
      <c r="A171" s="150">
        <v>110</v>
      </c>
      <c r="B171" s="204" t="s">
        <v>314</v>
      </c>
      <c r="C171" s="382" t="s">
        <v>313</v>
      </c>
      <c r="D171" s="383" t="s">
        <v>397</v>
      </c>
      <c r="E171" s="150">
        <v>110</v>
      </c>
    </row>
    <row r="172" spans="1:5" ht="15" x14ac:dyDescent="0.2">
      <c r="A172" s="150">
        <v>111</v>
      </c>
      <c r="B172" s="204" t="s">
        <v>315</v>
      </c>
      <c r="C172" s="382" t="s">
        <v>415</v>
      </c>
      <c r="D172" s="383" t="s">
        <v>416</v>
      </c>
      <c r="E172" s="150">
        <v>111</v>
      </c>
    </row>
    <row r="173" spans="1:5" ht="15" x14ac:dyDescent="0.2">
      <c r="A173" s="150">
        <v>112</v>
      </c>
      <c r="B173" s="204" t="s">
        <v>316</v>
      </c>
      <c r="C173" s="382" t="s">
        <v>328</v>
      </c>
      <c r="D173" s="383" t="s">
        <v>398</v>
      </c>
      <c r="E173" s="150">
        <v>112</v>
      </c>
    </row>
    <row r="174" spans="1:5" ht="15" x14ac:dyDescent="0.2">
      <c r="A174" s="150">
        <v>113</v>
      </c>
      <c r="B174" s="204" t="s">
        <v>338</v>
      </c>
      <c r="C174" s="382" t="s">
        <v>568</v>
      </c>
      <c r="D174" s="383" t="s">
        <v>568</v>
      </c>
      <c r="E174" s="150">
        <v>113</v>
      </c>
    </row>
    <row r="175" spans="1:5" ht="16" x14ac:dyDescent="0.2">
      <c r="A175" s="150">
        <v>114</v>
      </c>
      <c r="B175" s="205"/>
      <c r="C175" s="391"/>
      <c r="D175" s="390"/>
      <c r="E175" s="150">
        <v>114</v>
      </c>
    </row>
    <row r="176" spans="1:5" ht="16" x14ac:dyDescent="0.2">
      <c r="A176" s="150">
        <v>115</v>
      </c>
      <c r="B176" s="205"/>
      <c r="C176" s="391"/>
      <c r="D176" s="390"/>
      <c r="E176" s="150">
        <v>115</v>
      </c>
    </row>
    <row r="177" spans="1:5" ht="16" x14ac:dyDescent="0.2">
      <c r="A177" s="150">
        <v>116</v>
      </c>
      <c r="B177" s="205"/>
      <c r="C177" s="382" t="s">
        <v>326</v>
      </c>
      <c r="D177" s="383" t="s">
        <v>355</v>
      </c>
      <c r="E177" s="150">
        <v>116</v>
      </c>
    </row>
    <row r="178" spans="1:5" ht="15" x14ac:dyDescent="0.2">
      <c r="A178" s="150">
        <v>117</v>
      </c>
      <c r="B178" s="204" t="s">
        <v>329</v>
      </c>
      <c r="C178" s="382" t="s">
        <v>327</v>
      </c>
      <c r="D178" s="383" t="s">
        <v>417</v>
      </c>
      <c r="E178" s="150">
        <v>117</v>
      </c>
    </row>
    <row r="179" spans="1:5" ht="15" x14ac:dyDescent="0.2">
      <c r="A179" s="150">
        <v>118</v>
      </c>
      <c r="B179" s="204" t="s">
        <v>330</v>
      </c>
      <c r="C179" s="382" t="s">
        <v>418</v>
      </c>
      <c r="D179" s="383" t="s">
        <v>399</v>
      </c>
      <c r="E179" s="150">
        <v>118</v>
      </c>
    </row>
    <row r="180" spans="1:5" ht="15" x14ac:dyDescent="0.2">
      <c r="A180" s="150">
        <v>119</v>
      </c>
      <c r="B180" s="204" t="s">
        <v>331</v>
      </c>
      <c r="C180" s="382" t="s">
        <v>242</v>
      </c>
      <c r="D180" s="382" t="s">
        <v>242</v>
      </c>
      <c r="E180" s="150">
        <v>119</v>
      </c>
    </row>
    <row r="181" spans="1:5" ht="15" x14ac:dyDescent="0.2">
      <c r="A181" s="150">
        <v>120</v>
      </c>
      <c r="B181" s="204" t="s">
        <v>332</v>
      </c>
      <c r="C181" s="382" t="s">
        <v>244</v>
      </c>
      <c r="D181" s="382" t="s">
        <v>244</v>
      </c>
      <c r="E181" s="150">
        <v>120</v>
      </c>
    </row>
    <row r="182" spans="1:5" ht="16" x14ac:dyDescent="0.2">
      <c r="A182" s="150">
        <v>121</v>
      </c>
      <c r="B182" s="205"/>
      <c r="C182" s="391"/>
      <c r="D182" s="390"/>
      <c r="E182" s="150">
        <v>121</v>
      </c>
    </row>
    <row r="183" spans="1:5" ht="16" x14ac:dyDescent="0.2">
      <c r="A183" s="150">
        <v>122</v>
      </c>
      <c r="B183" s="205"/>
      <c r="C183" s="382" t="s">
        <v>337</v>
      </c>
      <c r="D183" s="383" t="s">
        <v>419</v>
      </c>
      <c r="E183" s="150">
        <v>122</v>
      </c>
    </row>
    <row r="184" spans="1:5" ht="15" x14ac:dyDescent="0.2">
      <c r="A184" s="150">
        <v>123</v>
      </c>
      <c r="B184" s="204" t="s">
        <v>333</v>
      </c>
      <c r="C184" s="382" t="s">
        <v>313</v>
      </c>
      <c r="D184" s="383" t="s">
        <v>397</v>
      </c>
      <c r="E184" s="150">
        <v>123</v>
      </c>
    </row>
    <row r="185" spans="1:5" ht="15" x14ac:dyDescent="0.2">
      <c r="A185" s="150">
        <v>124</v>
      </c>
      <c r="B185" s="204" t="s">
        <v>334</v>
      </c>
      <c r="C185" s="382" t="s">
        <v>578</v>
      </c>
      <c r="D185" s="382" t="s">
        <v>577</v>
      </c>
      <c r="E185" s="150">
        <v>124</v>
      </c>
    </row>
    <row r="186" spans="1:5" ht="15" x14ac:dyDescent="0.2">
      <c r="A186" s="150">
        <v>125</v>
      </c>
      <c r="B186" s="204" t="s">
        <v>335</v>
      </c>
      <c r="C186" s="382" t="s">
        <v>420</v>
      </c>
      <c r="D186" s="383" t="s">
        <v>416</v>
      </c>
      <c r="E186" s="150">
        <v>125</v>
      </c>
    </row>
    <row r="187" spans="1:5" ht="15" x14ac:dyDescent="0.2">
      <c r="A187" s="150">
        <v>126</v>
      </c>
      <c r="B187" s="204" t="s">
        <v>336</v>
      </c>
      <c r="C187" s="382" t="s">
        <v>328</v>
      </c>
      <c r="D187" s="383" t="s">
        <v>398</v>
      </c>
      <c r="E187" s="150">
        <v>126</v>
      </c>
    </row>
    <row r="188" spans="1:5" ht="15" x14ac:dyDescent="0.2">
      <c r="A188" s="150">
        <v>127</v>
      </c>
      <c r="B188" s="204" t="s">
        <v>339</v>
      </c>
      <c r="C188" s="382" t="s">
        <v>568</v>
      </c>
      <c r="D188" s="383" t="s">
        <v>568</v>
      </c>
      <c r="E188" s="150">
        <v>127</v>
      </c>
    </row>
    <row r="189" spans="1:5" x14ac:dyDescent="0.2">
      <c r="A189" s="150">
        <v>128</v>
      </c>
    </row>
    <row r="190" spans="1:5" x14ac:dyDescent="0.2">
      <c r="A190" s="150">
        <v>129</v>
      </c>
    </row>
    <row r="191" spans="1:5" x14ac:dyDescent="0.2">
      <c r="A191" s="150">
        <v>130</v>
      </c>
      <c r="D191" s="392"/>
    </row>
    <row r="192" spans="1:5" x14ac:dyDescent="0.2">
      <c r="A192" s="150">
        <v>131</v>
      </c>
      <c r="D192" s="392"/>
    </row>
    <row r="193" spans="1:8" x14ac:dyDescent="0.2">
      <c r="A193" s="150">
        <v>132</v>
      </c>
      <c r="C193" s="392"/>
      <c r="D193" s="392"/>
    </row>
    <row r="194" spans="1:8" x14ac:dyDescent="0.2">
      <c r="A194" s="150">
        <v>133</v>
      </c>
      <c r="C194" s="392"/>
      <c r="D194" s="392"/>
    </row>
    <row r="195" spans="1:8" x14ac:dyDescent="0.2">
      <c r="C195" s="392"/>
      <c r="D195" s="392"/>
    </row>
    <row r="196" spans="1:8" x14ac:dyDescent="0.2">
      <c r="C196" s="392"/>
      <c r="D196" s="392"/>
    </row>
    <row r="197" spans="1:8" x14ac:dyDescent="0.2">
      <c r="C197" s="392"/>
      <c r="D197" s="392"/>
    </row>
    <row r="198" spans="1:8" x14ac:dyDescent="0.2">
      <c r="C198" s="392"/>
      <c r="D198" s="392"/>
    </row>
    <row r="199" spans="1:8" x14ac:dyDescent="0.2">
      <c r="C199" s="392"/>
      <c r="D199" s="392"/>
    </row>
    <row r="200" spans="1:8" x14ac:dyDescent="0.2">
      <c r="C200" s="392"/>
      <c r="D200" s="392"/>
    </row>
    <row r="201" spans="1:8" x14ac:dyDescent="0.2">
      <c r="C201" s="392"/>
      <c r="D201" s="392"/>
    </row>
    <row r="202" spans="1:8" s="333" customFormat="1" x14ac:dyDescent="0.2">
      <c r="A202" s="334" t="s">
        <v>617</v>
      </c>
      <c r="B202" s="334"/>
      <c r="C202" s="393"/>
      <c r="D202" s="393"/>
      <c r="H202" s="2"/>
    </row>
    <row r="203" spans="1:8" x14ac:dyDescent="0.2">
      <c r="C203" s="392"/>
      <c r="D203" s="392"/>
    </row>
    <row r="204" spans="1:8" x14ac:dyDescent="0.2">
      <c r="C204" s="392"/>
      <c r="D204" s="392"/>
    </row>
    <row r="205" spans="1:8" s="335" customFormat="1" ht="20" x14ac:dyDescent="0.2">
      <c r="A205" s="335">
        <v>1</v>
      </c>
      <c r="C205" s="394" t="s">
        <v>623</v>
      </c>
      <c r="D205" s="395" t="s">
        <v>624</v>
      </c>
      <c r="H205" s="2"/>
    </row>
    <row r="206" spans="1:8" s="335" customFormat="1" ht="42" customHeight="1" x14ac:dyDescent="0.2">
      <c r="A206" s="335">
        <v>2</v>
      </c>
      <c r="C206" s="396" t="s">
        <v>615</v>
      </c>
      <c r="D206" s="382" t="s">
        <v>625</v>
      </c>
      <c r="H206" s="2"/>
    </row>
    <row r="207" spans="1:8" s="335" customFormat="1" ht="45" x14ac:dyDescent="0.2">
      <c r="A207" s="335">
        <v>3</v>
      </c>
      <c r="C207" s="397" t="s">
        <v>616</v>
      </c>
      <c r="D207" s="382" t="s">
        <v>626</v>
      </c>
      <c r="H207" s="2"/>
    </row>
    <row r="208" spans="1:8" s="335" customFormat="1" ht="75" x14ac:dyDescent="0.2">
      <c r="A208" s="335">
        <v>4</v>
      </c>
      <c r="C208" s="397" t="s">
        <v>621</v>
      </c>
      <c r="D208" s="382" t="s">
        <v>622</v>
      </c>
      <c r="H208" s="2"/>
    </row>
    <row r="209" spans="1:4" ht="15" x14ac:dyDescent="0.2">
      <c r="A209" s="335">
        <v>5</v>
      </c>
      <c r="C209" s="398" t="s">
        <v>638</v>
      </c>
      <c r="D209" s="382" t="s">
        <v>641</v>
      </c>
    </row>
    <row r="210" spans="1:4" ht="15" x14ac:dyDescent="0.2">
      <c r="A210" s="335">
        <v>6</v>
      </c>
      <c r="C210" s="398" t="s">
        <v>639</v>
      </c>
      <c r="D210" s="382" t="s">
        <v>642</v>
      </c>
    </row>
    <row r="211" spans="1:4" ht="15" x14ac:dyDescent="0.2">
      <c r="A211" s="335">
        <v>7</v>
      </c>
      <c r="C211" s="398" t="s">
        <v>640</v>
      </c>
      <c r="D211" s="382" t="s">
        <v>643</v>
      </c>
    </row>
    <row r="212" spans="1:4" ht="30" x14ac:dyDescent="0.2">
      <c r="A212" s="335">
        <v>8</v>
      </c>
      <c r="C212" s="398" t="s">
        <v>619</v>
      </c>
      <c r="D212" s="382" t="s">
        <v>627</v>
      </c>
    </row>
    <row r="213" spans="1:4" ht="28" customHeight="1" x14ac:dyDescent="0.2">
      <c r="A213" s="335">
        <v>9</v>
      </c>
      <c r="C213" s="399" t="s">
        <v>618</v>
      </c>
      <c r="D213" s="382" t="s">
        <v>628</v>
      </c>
    </row>
    <row r="214" spans="1:4" ht="58" customHeight="1" x14ac:dyDescent="0.2">
      <c r="A214" s="335">
        <v>10</v>
      </c>
      <c r="C214" s="397" t="s">
        <v>620</v>
      </c>
      <c r="D214" s="382" t="s">
        <v>629</v>
      </c>
    </row>
    <row r="215" spans="1:4" ht="15" x14ac:dyDescent="0.2">
      <c r="A215" s="335">
        <v>11</v>
      </c>
      <c r="C215" s="398" t="s">
        <v>637</v>
      </c>
      <c r="D215" s="382" t="s">
        <v>630</v>
      </c>
    </row>
    <row r="216" spans="1:4" x14ac:dyDescent="0.2">
      <c r="A216" s="335">
        <v>12</v>
      </c>
      <c r="D216" s="400"/>
    </row>
    <row r="217" spans="1:4" x14ac:dyDescent="0.2">
      <c r="A217" s="335">
        <v>13</v>
      </c>
      <c r="D217" s="400"/>
    </row>
    <row r="218" spans="1:4" x14ac:dyDescent="0.2">
      <c r="A218" s="335">
        <v>14</v>
      </c>
      <c r="D218" s="400"/>
    </row>
    <row r="219" spans="1:4" x14ac:dyDescent="0.2">
      <c r="A219" s="335">
        <v>15</v>
      </c>
      <c r="D219" s="400"/>
    </row>
    <row r="220" spans="1:4" x14ac:dyDescent="0.2">
      <c r="A220" s="335">
        <v>16</v>
      </c>
      <c r="D220" s="400"/>
    </row>
    <row r="221" spans="1:4" x14ac:dyDescent="0.2">
      <c r="A221" s="335">
        <v>17</v>
      </c>
    </row>
    <row r="222" spans="1:4" x14ac:dyDescent="0.2">
      <c r="A222" s="335">
        <v>18</v>
      </c>
    </row>
    <row r="223" spans="1:4" x14ac:dyDescent="0.2">
      <c r="A223" s="335">
        <v>19</v>
      </c>
    </row>
    <row r="224" spans="1:4" x14ac:dyDescent="0.2">
      <c r="A224" s="335">
        <v>20</v>
      </c>
    </row>
    <row r="225" spans="1:1" x14ac:dyDescent="0.2">
      <c r="A225" s="335">
        <v>21</v>
      </c>
    </row>
    <row r="226" spans="1:1" x14ac:dyDescent="0.2">
      <c r="A226" s="335">
        <v>22</v>
      </c>
    </row>
    <row r="227" spans="1:1" x14ac:dyDescent="0.2">
      <c r="A227" s="335">
        <v>23</v>
      </c>
    </row>
    <row r="228" spans="1:1" x14ac:dyDescent="0.2">
      <c r="A228" s="335">
        <v>24</v>
      </c>
    </row>
    <row r="229" spans="1:1" x14ac:dyDescent="0.2">
      <c r="A229" s="335">
        <v>25</v>
      </c>
    </row>
    <row r="230" spans="1:1" x14ac:dyDescent="0.2">
      <c r="A230" s="335">
        <v>26</v>
      </c>
    </row>
    <row r="231" spans="1:1" x14ac:dyDescent="0.2">
      <c r="A231" s="335">
        <v>27</v>
      </c>
    </row>
    <row r="232" spans="1:1" x14ac:dyDescent="0.2">
      <c r="A232" s="335">
        <v>28</v>
      </c>
    </row>
    <row r="233" spans="1:1" x14ac:dyDescent="0.2">
      <c r="A233" s="335">
        <v>29</v>
      </c>
    </row>
    <row r="234" spans="1:1" x14ac:dyDescent="0.2">
      <c r="A234" s="335">
        <v>30</v>
      </c>
    </row>
    <row r="235" spans="1:1" x14ac:dyDescent="0.2">
      <c r="A235" s="335">
        <v>31</v>
      </c>
    </row>
    <row r="236" spans="1:1" x14ac:dyDescent="0.2">
      <c r="A236" s="335">
        <v>32</v>
      </c>
    </row>
    <row r="237" spans="1:1" x14ac:dyDescent="0.2">
      <c r="A237" s="335">
        <v>33</v>
      </c>
    </row>
    <row r="238" spans="1:1" x14ac:dyDescent="0.2">
      <c r="A238" s="335">
        <v>34</v>
      </c>
    </row>
    <row r="239" spans="1:1" x14ac:dyDescent="0.2">
      <c r="A239" s="335">
        <v>35</v>
      </c>
    </row>
    <row r="240" spans="1:1" x14ac:dyDescent="0.2">
      <c r="A240" s="335">
        <v>36</v>
      </c>
    </row>
  </sheetData>
  <sheetProtection algorithmName="SHA-512" hashValue="9wmdgXNFqCfxp4dLIG8o84I1FDpFs3b+YkT70KPvEf/Azno4s6VQXF5vR3kb6+0NUOMZ5CHMQpSoxfdXpuuV4Q==" saltValue="jZzh1XXRgyljXd18+0nZwQ==" spinCount="100000" sheet="1" objects="1" scenarios="1"/>
  <mergeCells count="4">
    <mergeCell ref="A6:D6"/>
    <mergeCell ref="A1:B1"/>
    <mergeCell ref="A60:D60"/>
    <mergeCell ref="F118:I11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0EECB-1126-3B4A-B44E-917C03A794AC}">
  <sheetPr codeName="Sheet7"/>
  <dimension ref="A1:B17"/>
  <sheetViews>
    <sheetView workbookViewId="0">
      <selection activeCell="E57" sqref="E57"/>
    </sheetView>
  </sheetViews>
  <sheetFormatPr baseColWidth="10" defaultRowHeight="14" x14ac:dyDescent="0.2"/>
  <cols>
    <col min="2" max="2" width="26.7109375" customWidth="1"/>
  </cols>
  <sheetData>
    <row r="1" spans="1:2" x14ac:dyDescent="0.2">
      <c r="A1" s="265"/>
      <c r="B1" s="261"/>
    </row>
    <row r="2" spans="1:2" x14ac:dyDescent="0.2">
      <c r="A2" s="199" t="s">
        <v>595</v>
      </c>
      <c r="B2" s="199"/>
    </row>
    <row r="3" spans="1:2" x14ac:dyDescent="0.2">
      <c r="A3" s="199" t="s">
        <v>44</v>
      </c>
      <c r="B3" s="199" t="s">
        <v>596</v>
      </c>
    </row>
    <row r="4" spans="1:2" x14ac:dyDescent="0.2">
      <c r="A4" s="199" t="s">
        <v>508</v>
      </c>
      <c r="B4" s="199" t="s">
        <v>597</v>
      </c>
    </row>
    <row r="5" spans="1:2" x14ac:dyDescent="0.2">
      <c r="A5" s="199" t="s">
        <v>151</v>
      </c>
      <c r="B5" s="199" t="s">
        <v>598</v>
      </c>
    </row>
    <row r="6" spans="1:2" x14ac:dyDescent="0.2">
      <c r="A6" s="199" t="s">
        <v>311</v>
      </c>
      <c r="B6" s="199"/>
    </row>
    <row r="7" spans="1:2" x14ac:dyDescent="0.2">
      <c r="A7" s="199" t="s">
        <v>51</v>
      </c>
      <c r="B7" s="265" t="s">
        <v>609</v>
      </c>
    </row>
    <row r="8" spans="1:2" x14ac:dyDescent="0.2">
      <c r="A8" s="199" t="s">
        <v>505</v>
      </c>
      <c r="B8" s="265" t="s">
        <v>610</v>
      </c>
    </row>
    <row r="9" spans="1:2" x14ac:dyDescent="0.2">
      <c r="A9" s="199" t="s">
        <v>240</v>
      </c>
      <c r="B9" s="265" t="s">
        <v>611</v>
      </c>
    </row>
    <row r="10" spans="1:2" x14ac:dyDescent="0.2">
      <c r="A10" s="199" t="s">
        <v>394</v>
      </c>
      <c r="B10" s="199"/>
    </row>
    <row r="11" spans="1:2" x14ac:dyDescent="0.2">
      <c r="A11" s="199" t="s">
        <v>599</v>
      </c>
      <c r="B11" s="265" t="s">
        <v>612</v>
      </c>
    </row>
    <row r="12" spans="1:2" x14ac:dyDescent="0.2">
      <c r="A12" s="199" t="s">
        <v>600</v>
      </c>
      <c r="B12" s="265" t="s">
        <v>613</v>
      </c>
    </row>
    <row r="13" spans="1:2" x14ac:dyDescent="0.2">
      <c r="A13" s="199" t="s">
        <v>601</v>
      </c>
      <c r="B13" s="265" t="s">
        <v>614</v>
      </c>
    </row>
    <row r="14" spans="1:2" x14ac:dyDescent="0.2">
      <c r="A14" s="199" t="s">
        <v>602</v>
      </c>
      <c r="B14" s="265" t="s">
        <v>608</v>
      </c>
    </row>
    <row r="15" spans="1:2" x14ac:dyDescent="0.2">
      <c r="A15" s="199" t="s">
        <v>603</v>
      </c>
      <c r="B15" s="265" t="s">
        <v>602</v>
      </c>
    </row>
    <row r="16" spans="1:2" x14ac:dyDescent="0.2">
      <c r="A16" s="265" t="s">
        <v>607</v>
      </c>
      <c r="B16" s="265" t="s">
        <v>604</v>
      </c>
    </row>
    <row r="17" spans="1:2" x14ac:dyDescent="0.2">
      <c r="A17" s="265" t="s">
        <v>606</v>
      </c>
      <c r="B17" s="265" t="s">
        <v>605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3DED5-FACD-3848-9D48-04B728AAEED5}">
  <sheetPr codeName="Sheet8"/>
  <dimension ref="A1:Y114"/>
  <sheetViews>
    <sheetView topLeftCell="A7" workbookViewId="0">
      <selection activeCell="H31" sqref="H31"/>
    </sheetView>
  </sheetViews>
  <sheetFormatPr baseColWidth="10" defaultRowHeight="14" x14ac:dyDescent="0.2"/>
  <sheetData>
    <row r="1" spans="1:25" ht="16" x14ac:dyDescent="0.2">
      <c r="A1" s="298" t="s">
        <v>544</v>
      </c>
      <c r="B1" s="299"/>
      <c r="C1" s="299"/>
      <c r="D1" s="299"/>
      <c r="E1" s="299"/>
      <c r="F1" s="298" t="s">
        <v>543</v>
      </c>
      <c r="G1" s="298"/>
      <c r="H1" s="298"/>
      <c r="I1" s="298"/>
    </row>
    <row r="2" spans="1:25" ht="16" x14ac:dyDescent="0.2">
      <c r="A2" s="298">
        <v>1</v>
      </c>
      <c r="B2" s="298">
        <v>2</v>
      </c>
      <c r="C2" s="298">
        <v>3</v>
      </c>
      <c r="D2" s="298">
        <v>4</v>
      </c>
      <c r="E2" s="298">
        <v>5</v>
      </c>
      <c r="F2" s="298">
        <v>6</v>
      </c>
      <c r="G2" s="298">
        <v>7</v>
      </c>
      <c r="H2" s="298">
        <v>8</v>
      </c>
      <c r="I2" s="298">
        <v>9</v>
      </c>
      <c r="J2" s="298">
        <v>10</v>
      </c>
      <c r="K2" s="298">
        <v>11</v>
      </c>
      <c r="L2" s="298">
        <v>12</v>
      </c>
      <c r="M2" s="298">
        <v>13</v>
      </c>
      <c r="N2" s="298">
        <v>14</v>
      </c>
      <c r="O2" s="298">
        <v>15</v>
      </c>
      <c r="P2" s="298">
        <v>16</v>
      </c>
      <c r="Q2" s="298">
        <v>17</v>
      </c>
      <c r="R2" s="298">
        <v>18</v>
      </c>
      <c r="S2" s="298">
        <v>19</v>
      </c>
      <c r="T2" s="298">
        <v>20</v>
      </c>
      <c r="U2" s="298">
        <v>21</v>
      </c>
      <c r="V2" s="298">
        <v>22</v>
      </c>
      <c r="W2" s="298">
        <v>23</v>
      </c>
      <c r="X2" s="298">
        <v>24</v>
      </c>
      <c r="Y2" s="298">
        <v>25</v>
      </c>
    </row>
    <row r="3" spans="1:25" x14ac:dyDescent="0.2">
      <c r="A3" s="300" t="s">
        <v>542</v>
      </c>
      <c r="B3" s="300" t="s">
        <v>98</v>
      </c>
      <c r="C3" s="300"/>
      <c r="D3" s="300"/>
      <c r="E3" s="300"/>
      <c r="F3" s="300"/>
      <c r="G3" s="300"/>
      <c r="H3" s="300"/>
      <c r="I3" s="300"/>
      <c r="J3" s="300"/>
      <c r="K3" s="300"/>
      <c r="L3" s="300"/>
      <c r="M3" s="300"/>
      <c r="N3" s="299"/>
    </row>
    <row r="4" spans="1:25" x14ac:dyDescent="0.2">
      <c r="A4" s="300"/>
      <c r="B4" s="301">
        <v>0.01</v>
      </c>
      <c r="C4" s="301">
        <v>0.02</v>
      </c>
      <c r="D4" s="301">
        <v>0.03</v>
      </c>
      <c r="E4" s="301">
        <v>0.04</v>
      </c>
      <c r="F4" s="301">
        <v>0.05</v>
      </c>
      <c r="G4" s="301">
        <v>0.06</v>
      </c>
      <c r="H4" s="301">
        <v>7.0000000000000007E-2</v>
      </c>
      <c r="I4" s="301">
        <v>0.08</v>
      </c>
      <c r="J4" s="301">
        <v>0.09</v>
      </c>
      <c r="K4" s="301">
        <v>0.1</v>
      </c>
      <c r="L4" s="301">
        <v>0.15</v>
      </c>
      <c r="M4" s="301">
        <v>0.2</v>
      </c>
      <c r="N4" s="301">
        <v>0.25</v>
      </c>
      <c r="O4" s="301">
        <v>0.3</v>
      </c>
      <c r="P4" s="301">
        <v>0.35</v>
      </c>
      <c r="Q4" s="301">
        <v>0.4</v>
      </c>
      <c r="R4" s="301">
        <v>0.45</v>
      </c>
      <c r="S4" s="301">
        <v>0.5</v>
      </c>
      <c r="T4" s="301">
        <v>0.55000000000000004</v>
      </c>
      <c r="U4" s="301">
        <v>0.6</v>
      </c>
      <c r="V4" s="301">
        <v>0.65</v>
      </c>
      <c r="W4" s="301">
        <v>0.7</v>
      </c>
      <c r="X4" s="301">
        <v>0.8</v>
      </c>
      <c r="Y4" s="301">
        <v>0.9</v>
      </c>
    </row>
    <row r="5" spans="1:25" x14ac:dyDescent="0.2">
      <c r="A5" s="302">
        <v>0</v>
      </c>
      <c r="B5" s="302">
        <v>1.01E-2</v>
      </c>
      <c r="C5" s="302">
        <v>2.0400000000000001E-2</v>
      </c>
      <c r="D5" s="302">
        <v>3.0901999999999999E-2</v>
      </c>
      <c r="E5" s="302">
        <v>4.1583000000000002E-2</v>
      </c>
      <c r="F5" s="302">
        <v>5.2506999999999998E-2</v>
      </c>
      <c r="G5" s="302">
        <v>6.3625000000000001E-2</v>
      </c>
      <c r="H5" s="302">
        <v>7.4953000000000006E-2</v>
      </c>
      <c r="I5" s="302">
        <v>8.6489999999999997E-2</v>
      </c>
      <c r="J5" s="302">
        <v>9.8239999999999994E-2</v>
      </c>
      <c r="K5" s="302">
        <v>0.11020000000000001</v>
      </c>
      <c r="L5" s="302">
        <v>0.17341999999999999</v>
      </c>
      <c r="M5" s="302">
        <v>0.24268000000000001</v>
      </c>
      <c r="N5" s="302">
        <v>0.31862000000000001</v>
      </c>
      <c r="O5" s="302">
        <v>0.40210000000000001</v>
      </c>
      <c r="P5" s="302">
        <v>0.49409999999999998</v>
      </c>
      <c r="Q5" s="302">
        <v>0.59609999999999996</v>
      </c>
      <c r="R5" s="302">
        <v>0.70960000000000001</v>
      </c>
      <c r="S5" s="302">
        <v>0.83879999999999999</v>
      </c>
      <c r="T5" s="302">
        <v>0.98080000000000001</v>
      </c>
      <c r="U5" s="302">
        <v>1.145</v>
      </c>
      <c r="V5" s="302">
        <v>1.3360000000000001</v>
      </c>
      <c r="W5" s="302">
        <v>1.5609999999999999</v>
      </c>
      <c r="X5" s="302">
        <v>2.1760000000000002</v>
      </c>
      <c r="Y5" s="302">
        <v>3.2829999999999999</v>
      </c>
    </row>
    <row r="6" spans="1:25" x14ac:dyDescent="0.2">
      <c r="A6" s="302">
        <v>0.05</v>
      </c>
      <c r="B6" s="302">
        <v>1.0551E-2</v>
      </c>
      <c r="C6" s="302">
        <v>2.1294E-2</v>
      </c>
      <c r="D6" s="302">
        <v>3.2224999999999997E-2</v>
      </c>
      <c r="E6" s="302">
        <v>4.335E-2</v>
      </c>
      <c r="F6" s="302">
        <v>5.4670000000000003E-2</v>
      </c>
      <c r="G6" s="302">
        <v>6.6158999999999996E-2</v>
      </c>
      <c r="H6" s="302">
        <v>7.7909000000000006E-2</v>
      </c>
      <c r="I6" s="302">
        <v>8.9829999999999993E-2</v>
      </c>
      <c r="J6" s="302">
        <v>0.10197000000000001</v>
      </c>
      <c r="K6" s="302">
        <v>0.11430999999999999</v>
      </c>
      <c r="L6" s="302">
        <v>0.17924999999999999</v>
      </c>
      <c r="M6" s="302">
        <v>0.25033</v>
      </c>
      <c r="N6" s="302">
        <v>0.32793</v>
      </c>
      <c r="O6" s="302">
        <v>0.41299999999999998</v>
      </c>
      <c r="P6" s="302">
        <v>0.50660000000000005</v>
      </c>
      <c r="Q6" s="302">
        <v>0.61009999999999998</v>
      </c>
      <c r="R6" s="302">
        <v>0.72519999999999996</v>
      </c>
      <c r="S6" s="302">
        <v>0.85399999999999998</v>
      </c>
      <c r="T6" s="302">
        <v>0.99939999999999996</v>
      </c>
      <c r="U6" s="302">
        <v>1.1659999999999999</v>
      </c>
      <c r="V6" s="302">
        <v>1.3580000000000001</v>
      </c>
      <c r="W6" s="302">
        <v>1.585</v>
      </c>
      <c r="X6" s="302">
        <v>2.2029999999999998</v>
      </c>
      <c r="Y6" s="302">
        <v>3.3140000000000001</v>
      </c>
    </row>
    <row r="7" spans="1:25" x14ac:dyDescent="0.2">
      <c r="A7" s="302">
        <v>0.1</v>
      </c>
      <c r="B7" s="302">
        <v>1.095E-2</v>
      </c>
      <c r="C7" s="302">
        <v>2.2082000000000001E-2</v>
      </c>
      <c r="D7" s="302">
        <v>3.3397999999999997E-2</v>
      </c>
      <c r="E7" s="302">
        <v>4.4901999999999997E-2</v>
      </c>
      <c r="F7" s="302">
        <v>5.6596E-2</v>
      </c>
      <c r="G7" s="302">
        <v>6.8483000000000002E-2</v>
      </c>
      <c r="H7" s="302">
        <v>8.0562999999999996E-2</v>
      </c>
      <c r="I7" s="302">
        <v>9.2850000000000002E-2</v>
      </c>
      <c r="J7" s="302">
        <v>0.10534</v>
      </c>
      <c r="K7" s="302">
        <v>0.11804000000000001</v>
      </c>
      <c r="L7" s="302">
        <v>0.18479000000000001</v>
      </c>
      <c r="M7" s="302">
        <v>0.25741000000000003</v>
      </c>
      <c r="N7" s="302">
        <v>0.33661999999999997</v>
      </c>
      <c r="O7" s="302">
        <v>0.42330000000000001</v>
      </c>
      <c r="P7" s="302">
        <v>0.51839999999999997</v>
      </c>
      <c r="Q7" s="302">
        <v>0.62339999999999995</v>
      </c>
      <c r="R7" s="302">
        <v>0.74</v>
      </c>
      <c r="S7" s="302">
        <v>0.87029999999999996</v>
      </c>
      <c r="T7" s="302">
        <v>1.0169999999999999</v>
      </c>
      <c r="U7" s="302">
        <v>1.1850000000000001</v>
      </c>
      <c r="V7" s="302">
        <v>1.379</v>
      </c>
      <c r="W7" s="302">
        <v>1.6080000000000001</v>
      </c>
      <c r="X7" s="302">
        <v>2.2290000000000001</v>
      </c>
      <c r="Y7" s="302">
        <v>3.3450000000000002</v>
      </c>
    </row>
    <row r="8" spans="1:25" x14ac:dyDescent="0.2">
      <c r="A8" s="302">
        <v>0.15</v>
      </c>
      <c r="B8" s="302">
        <v>1.1310000000000001E-2</v>
      </c>
      <c r="C8" s="302">
        <v>2.2797999999999999E-2</v>
      </c>
      <c r="D8" s="302">
        <v>3.4465999999999997E-2</v>
      </c>
      <c r="E8" s="302">
        <v>4.6317999999999998E-2</v>
      </c>
      <c r="F8" s="302">
        <v>5.8355999999999998E-2</v>
      </c>
      <c r="G8" s="302">
        <v>7.0585999999999996E-2</v>
      </c>
      <c r="H8" s="302">
        <v>8.3008999999999999E-2</v>
      </c>
      <c r="I8" s="302">
        <v>9.5630000000000007E-2</v>
      </c>
      <c r="J8" s="302">
        <v>0.10845</v>
      </c>
      <c r="K8" s="302">
        <v>0.12148</v>
      </c>
      <c r="L8" s="302">
        <v>0.18984999999999999</v>
      </c>
      <c r="M8" s="302">
        <v>0.26405000000000001</v>
      </c>
      <c r="N8" s="302">
        <v>0.3448</v>
      </c>
      <c r="O8" s="302">
        <v>0.433</v>
      </c>
      <c r="P8" s="302">
        <v>0.52959999999999996</v>
      </c>
      <c r="Q8" s="302">
        <v>0.6361</v>
      </c>
      <c r="R8" s="302">
        <v>0.75419999999999998</v>
      </c>
      <c r="S8" s="302">
        <v>0.88600000000000001</v>
      </c>
      <c r="T8" s="302">
        <v>1.0349999999999999</v>
      </c>
      <c r="U8" s="302">
        <v>1.204</v>
      </c>
      <c r="V8" s="302">
        <v>1.4</v>
      </c>
      <c r="W8" s="302">
        <v>1.63</v>
      </c>
      <c r="X8" s="302">
        <v>2.2549999999999999</v>
      </c>
      <c r="Y8" s="302">
        <v>3.3759999999999999</v>
      </c>
    </row>
    <row r="9" spans="1:25" x14ac:dyDescent="0.2">
      <c r="A9" s="302">
        <v>0.2</v>
      </c>
      <c r="B9" s="302">
        <v>1.1642E-2</v>
      </c>
      <c r="C9" s="302">
        <v>2.3459000000000001E-2</v>
      </c>
      <c r="D9" s="302">
        <v>3.5452999999999998E-2</v>
      </c>
      <c r="E9" s="302">
        <v>4.7829000000000003E-2</v>
      </c>
      <c r="F9" s="302">
        <v>5.9990000000000002E-2</v>
      </c>
      <c r="G9" s="302">
        <v>7.2539000000000006E-2</v>
      </c>
      <c r="H9" s="302">
        <v>8.5279999999999995E-2</v>
      </c>
      <c r="I9" s="302">
        <v>9.8220000000000002E-2</v>
      </c>
      <c r="J9" s="302">
        <v>0.11135</v>
      </c>
      <c r="K9" s="302">
        <v>0.12469</v>
      </c>
      <c r="L9" s="302">
        <v>0.1946</v>
      </c>
      <c r="M9" s="302">
        <v>0.27030999999999999</v>
      </c>
      <c r="N9" s="302">
        <v>0.35254999999999997</v>
      </c>
      <c r="O9" s="302">
        <v>0.44219999999999998</v>
      </c>
      <c r="P9" s="302">
        <v>0.5403</v>
      </c>
      <c r="Q9" s="302">
        <v>0.64829999999999999</v>
      </c>
      <c r="R9" s="302">
        <v>0.76729999999999998</v>
      </c>
      <c r="S9" s="302">
        <v>0.9012</v>
      </c>
      <c r="T9" s="302">
        <v>1.0509999999999999</v>
      </c>
      <c r="U9" s="302">
        <v>1.222</v>
      </c>
      <c r="V9" s="302">
        <v>1.419</v>
      </c>
      <c r="W9" s="302">
        <v>1.651</v>
      </c>
      <c r="X9" s="302">
        <v>2.2799999999999998</v>
      </c>
      <c r="Y9" s="302">
        <v>3.4049999999999998</v>
      </c>
    </row>
    <row r="10" spans="1:25" x14ac:dyDescent="0.2">
      <c r="A10" s="302">
        <v>0.25</v>
      </c>
      <c r="B10" s="302">
        <v>1.1952000000000001E-2</v>
      </c>
      <c r="C10" s="302">
        <v>2.4076E-2</v>
      </c>
      <c r="D10" s="302">
        <v>3.6377E-2</v>
      </c>
      <c r="E10" s="302">
        <v>4.8857999999999999E-2</v>
      </c>
      <c r="F10" s="302">
        <v>6.1522E-2</v>
      </c>
      <c r="G10" s="302">
        <v>7.4371999999999994E-2</v>
      </c>
      <c r="H10" s="302">
        <v>8.7413000000000005E-2</v>
      </c>
      <c r="I10" s="302">
        <v>0.10065</v>
      </c>
      <c r="J10" s="302">
        <v>0.11408</v>
      </c>
      <c r="K10" s="302">
        <v>0.12772</v>
      </c>
      <c r="L10" s="302">
        <v>0.1991</v>
      </c>
      <c r="M10" s="302">
        <v>0.27626000000000001</v>
      </c>
      <c r="N10" s="302">
        <v>0.35993000000000003</v>
      </c>
      <c r="O10" s="302">
        <v>0.45100000000000001</v>
      </c>
      <c r="P10" s="302">
        <v>0.55059999999999998</v>
      </c>
      <c r="Q10" s="302">
        <v>0.66</v>
      </c>
      <c r="R10" s="302">
        <v>0.78100000000000003</v>
      </c>
      <c r="S10" s="302">
        <v>0.91579999999999995</v>
      </c>
      <c r="T10" s="302">
        <v>1.0669999999999999</v>
      </c>
      <c r="U10" s="302">
        <v>1.24</v>
      </c>
      <c r="V10" s="302">
        <v>1.4390000000000001</v>
      </c>
      <c r="W10" s="302">
        <v>1.6719999999999999</v>
      </c>
      <c r="X10" s="302">
        <v>2.3050000000000002</v>
      </c>
      <c r="Y10" s="302">
        <v>3.4350000000000001</v>
      </c>
    </row>
    <row r="11" spans="1:25" x14ac:dyDescent="0.2">
      <c r="A11" s="302">
        <v>0.3</v>
      </c>
      <c r="B11" s="302">
        <v>1.2243E-2</v>
      </c>
      <c r="C11" s="302">
        <v>2.4657999999999999E-2</v>
      </c>
      <c r="D11" s="302">
        <v>3.7248999999999997E-2</v>
      </c>
      <c r="E11" s="302">
        <v>5.0018E-2</v>
      </c>
      <c r="F11" s="302">
        <v>6.2968999999999997E-2</v>
      </c>
      <c r="G11" s="302">
        <v>7.6105999999999993E-2</v>
      </c>
      <c r="H11" s="302">
        <v>8.9432999999999999E-2</v>
      </c>
      <c r="I11" s="302">
        <v>0.10295</v>
      </c>
      <c r="J11" s="302">
        <v>0.11667</v>
      </c>
      <c r="K11" s="302">
        <v>0.13059000000000001</v>
      </c>
      <c r="L11" s="302">
        <v>0.20338000000000001</v>
      </c>
      <c r="M11" s="302">
        <v>0.28193000000000001</v>
      </c>
      <c r="N11" s="302">
        <v>0.36699999999999999</v>
      </c>
      <c r="O11" s="302">
        <v>0.45950000000000002</v>
      </c>
      <c r="P11" s="302">
        <v>0.56040000000000001</v>
      </c>
      <c r="Q11" s="302">
        <v>0.67130000000000001</v>
      </c>
      <c r="R11" s="302">
        <v>0.79369999999999996</v>
      </c>
      <c r="S11" s="302">
        <v>0.93</v>
      </c>
      <c r="T11" s="302">
        <v>1.083</v>
      </c>
      <c r="U11" s="302">
        <v>1.2569999999999999</v>
      </c>
      <c r="V11" s="302">
        <v>1.4570000000000001</v>
      </c>
      <c r="W11" s="302">
        <v>1.6930000000000001</v>
      </c>
      <c r="X11" s="302">
        <v>2.3290000000000002</v>
      </c>
      <c r="Y11" s="302">
        <v>3.464</v>
      </c>
    </row>
    <row r="12" spans="1:25" x14ac:dyDescent="0.2">
      <c r="A12" s="302">
        <v>0.35</v>
      </c>
      <c r="B12" s="302">
        <v>1.252E-2</v>
      </c>
      <c r="C12" s="302">
        <v>2.5211000000000001E-2</v>
      </c>
      <c r="D12" s="302">
        <v>3.8077E-2</v>
      </c>
      <c r="E12" s="302">
        <v>5.1119999999999999E-2</v>
      </c>
      <c r="F12" s="302">
        <v>6.4344999999999999E-2</v>
      </c>
      <c r="G12" s="302">
        <v>7.7736E-2</v>
      </c>
      <c r="H12" s="302">
        <v>9.1355000000000006E-2</v>
      </c>
      <c r="I12" s="302">
        <v>0.10514999999999999</v>
      </c>
      <c r="J12" s="302">
        <v>0.11914</v>
      </c>
      <c r="K12" s="302">
        <v>0.13333</v>
      </c>
      <c r="L12" s="302">
        <v>0.20746999999999999</v>
      </c>
      <c r="M12" s="302">
        <v>0.28737000000000001</v>
      </c>
      <c r="N12" s="302">
        <v>0.37379000000000001</v>
      </c>
      <c r="O12" s="302">
        <v>0.46760000000000002</v>
      </c>
      <c r="P12" s="302">
        <v>0.56989999999999996</v>
      </c>
      <c r="Q12" s="302">
        <v>0.68210000000000004</v>
      </c>
      <c r="R12" s="302">
        <v>0.80600000000000005</v>
      </c>
      <c r="S12" s="302">
        <v>0.94369999999999998</v>
      </c>
      <c r="T12" s="302">
        <v>1.0980000000000001</v>
      </c>
      <c r="U12" s="302">
        <v>1.274</v>
      </c>
      <c r="V12" s="302">
        <v>1.4750000000000001</v>
      </c>
      <c r="W12" s="302">
        <v>1.7130000000000001</v>
      </c>
      <c r="X12" s="302">
        <v>2.3530000000000002</v>
      </c>
      <c r="Y12" s="302">
        <v>3.492</v>
      </c>
    </row>
    <row r="13" spans="1:25" x14ac:dyDescent="0.2">
      <c r="A13" s="302">
        <v>0.4</v>
      </c>
      <c r="B13" s="302">
        <v>1.2784E-2</v>
      </c>
      <c r="C13" s="302">
        <v>2.5738E-2</v>
      </c>
      <c r="D13" s="302">
        <v>3.8865999999999998E-2</v>
      </c>
      <c r="E13" s="302">
        <v>5.2172999999999997E-2</v>
      </c>
      <c r="F13" s="302">
        <v>6.5659999999999996E-2</v>
      </c>
      <c r="G13" s="302">
        <v>7.9332E-2</v>
      </c>
      <c r="H13" s="302">
        <v>9.3192999999999998E-2</v>
      </c>
      <c r="I13" s="302">
        <v>0.10725</v>
      </c>
      <c r="J13" s="302">
        <v>0.1215</v>
      </c>
      <c r="K13" s="302">
        <v>0.13594999999999999</v>
      </c>
      <c r="L13" s="302">
        <v>0.21129000000000001</v>
      </c>
      <c r="M13" s="302">
        <v>0.29249999999999998</v>
      </c>
      <c r="N13" s="302">
        <v>0.38033</v>
      </c>
      <c r="O13" s="302">
        <v>0.47349999999999998</v>
      </c>
      <c r="P13" s="302">
        <v>0.57909999999999995</v>
      </c>
      <c r="Q13" s="302">
        <v>0.69269999999999998</v>
      </c>
      <c r="R13" s="302">
        <v>0.81789999999999996</v>
      </c>
      <c r="S13" s="302">
        <v>0.95699999999999996</v>
      </c>
      <c r="T13" s="302">
        <v>1.113</v>
      </c>
      <c r="U13" s="302">
        <v>1.29</v>
      </c>
      <c r="V13" s="302">
        <v>1.494</v>
      </c>
      <c r="W13" s="302">
        <v>1.732</v>
      </c>
      <c r="X13" s="302">
        <v>2.3759999999999999</v>
      </c>
      <c r="Y13" s="302">
        <v>3.52</v>
      </c>
    </row>
    <row r="14" spans="1:25" x14ac:dyDescent="0.2">
      <c r="A14" s="302">
        <v>0.45</v>
      </c>
      <c r="B14" s="302">
        <v>1.3036000000000001E-2</v>
      </c>
      <c r="C14" s="302">
        <v>2.6242999999999999E-2</v>
      </c>
      <c r="D14" s="302">
        <v>3.9623999999999999E-2</v>
      </c>
      <c r="E14" s="302">
        <v>5.3182E-2</v>
      </c>
      <c r="F14" s="302">
        <v>6.6920999999999994E-2</v>
      </c>
      <c r="G14" s="302">
        <v>8.0845E-2</v>
      </c>
      <c r="H14" s="302">
        <v>9.4958000000000001E-2</v>
      </c>
      <c r="I14" s="302">
        <v>0.10926</v>
      </c>
      <c r="J14" s="302">
        <v>0.12377000000000001</v>
      </c>
      <c r="K14" s="302">
        <v>0.13847000000000001</v>
      </c>
      <c r="L14" s="302">
        <v>0.21517</v>
      </c>
      <c r="M14" s="302">
        <v>0.29765000000000003</v>
      </c>
      <c r="N14" s="302">
        <v>0.38664999999999999</v>
      </c>
      <c r="O14" s="302">
        <v>0.48309999999999997</v>
      </c>
      <c r="P14" s="302">
        <v>0.58799999999999997</v>
      </c>
      <c r="Q14" s="302">
        <v>0.70289999999999997</v>
      </c>
      <c r="R14" s="302">
        <v>0.82950000000000002</v>
      </c>
      <c r="S14" s="302">
        <v>0.97</v>
      </c>
      <c r="T14" s="302">
        <v>1.127</v>
      </c>
      <c r="U14" s="302">
        <v>1.306</v>
      </c>
      <c r="V14" s="302">
        <v>1.5109999999999999</v>
      </c>
      <c r="W14" s="302">
        <v>1.7509999999999999</v>
      </c>
      <c r="X14" s="302">
        <v>2.399</v>
      </c>
      <c r="Y14" s="302">
        <v>3.5470000000000002</v>
      </c>
    </row>
    <row r="15" spans="1:25" x14ac:dyDescent="0.2">
      <c r="A15" s="302">
        <v>0.5</v>
      </c>
      <c r="B15" s="302">
        <v>1.3278999999999999E-2</v>
      </c>
      <c r="C15" s="302">
        <v>2.6727999999999998E-2</v>
      </c>
      <c r="D15" s="302">
        <v>4.0351999999999999E-2</v>
      </c>
      <c r="E15" s="302">
        <v>5.4153E-2</v>
      </c>
      <c r="F15" s="302">
        <v>6.8135000000000001E-2</v>
      </c>
      <c r="G15" s="302">
        <v>8.2300999999999999E-2</v>
      </c>
      <c r="H15" s="302">
        <v>9.6657000000000007E-2</v>
      </c>
      <c r="I15" s="302">
        <v>0.11121</v>
      </c>
      <c r="J15" s="302">
        <v>0.12595000000000001</v>
      </c>
      <c r="K15" s="302">
        <v>0.1409</v>
      </c>
      <c r="L15" s="302">
        <v>0.21881999999999999</v>
      </c>
      <c r="M15" s="302">
        <v>0.30253000000000002</v>
      </c>
      <c r="N15" s="302">
        <v>0.39276</v>
      </c>
      <c r="O15" s="302">
        <v>0.4904</v>
      </c>
      <c r="P15" s="302">
        <v>0.59670000000000001</v>
      </c>
      <c r="Q15" s="302">
        <v>0.71289999999999998</v>
      </c>
      <c r="R15" s="302">
        <v>0.84079999999999999</v>
      </c>
      <c r="S15" s="302">
        <v>0.98260000000000003</v>
      </c>
      <c r="T15" s="302">
        <v>1.141</v>
      </c>
      <c r="U15" s="302">
        <v>1.321</v>
      </c>
      <c r="V15" s="302">
        <v>1.528</v>
      </c>
      <c r="W15" s="302">
        <v>1.77</v>
      </c>
      <c r="X15" s="302">
        <v>2.4209999999999998</v>
      </c>
      <c r="Y15" s="302">
        <v>3.5750000000000002</v>
      </c>
    </row>
    <row r="16" spans="1:25" x14ac:dyDescent="0.2">
      <c r="A16" s="302">
        <v>0.55000000000000004</v>
      </c>
      <c r="B16" s="302">
        <v>1.3513000000000001E-2</v>
      </c>
      <c r="C16" s="302">
        <v>2.7196000000000001E-2</v>
      </c>
      <c r="D16" s="302">
        <v>4.1054E-2</v>
      </c>
      <c r="E16" s="302">
        <v>5.5088999999999999E-2</v>
      </c>
      <c r="F16" s="302">
        <v>6.9306000000000006E-2</v>
      </c>
      <c r="G16" s="302">
        <v>8.3708000000000005E-2</v>
      </c>
      <c r="H16" s="302">
        <v>9.8297999999999996E-2</v>
      </c>
      <c r="I16" s="302">
        <v>0.11208</v>
      </c>
      <c r="J16" s="302">
        <v>0.12806000000000001</v>
      </c>
      <c r="K16" s="302">
        <v>0.14324999999999999</v>
      </c>
      <c r="L16" s="302">
        <v>0.22225</v>
      </c>
      <c r="M16" s="302">
        <v>0.30725000000000002</v>
      </c>
      <c r="N16" s="302">
        <v>0.39678999999999998</v>
      </c>
      <c r="O16" s="302">
        <v>0.49759999999999999</v>
      </c>
      <c r="P16" s="302">
        <v>0.60609999999999997</v>
      </c>
      <c r="Q16" s="302">
        <v>0.72250000000000003</v>
      </c>
      <c r="R16" s="302">
        <v>0.85170000000000001</v>
      </c>
      <c r="S16" s="302">
        <v>0.995</v>
      </c>
      <c r="T16" s="302">
        <v>1.155</v>
      </c>
      <c r="U16" s="302">
        <v>1.337</v>
      </c>
      <c r="V16" s="302">
        <v>1.5449999999999999</v>
      </c>
      <c r="W16" s="302">
        <v>1.788</v>
      </c>
      <c r="X16" s="302">
        <v>2.4430000000000001</v>
      </c>
      <c r="Y16" s="302">
        <v>3.601</v>
      </c>
    </row>
    <row r="17" spans="1:25" x14ac:dyDescent="0.2">
      <c r="A17" s="302">
        <v>0.6</v>
      </c>
      <c r="B17" s="302">
        <v>1.3738999999999999E-2</v>
      </c>
      <c r="C17" s="302">
        <v>2.7848999999999999E-2</v>
      </c>
      <c r="D17" s="302">
        <v>4.1732999999999999E-2</v>
      </c>
      <c r="E17" s="302">
        <v>5.5995000000000003E-2</v>
      </c>
      <c r="F17" s="302">
        <v>7.0439000000000002E-2</v>
      </c>
      <c r="G17" s="302">
        <v>8.5068000000000005E-2</v>
      </c>
      <c r="H17" s="302">
        <v>9.9887000000000004E-2</v>
      </c>
      <c r="I17" s="302">
        <v>0.1149</v>
      </c>
      <c r="J17" s="302">
        <v>0.13011</v>
      </c>
      <c r="K17" s="302">
        <v>0.14552000000000001</v>
      </c>
      <c r="L17" s="302">
        <v>0.22578000000000001</v>
      </c>
      <c r="M17" s="302">
        <v>0.31184000000000001</v>
      </c>
      <c r="N17" s="302">
        <v>0.40447</v>
      </c>
      <c r="O17" s="302">
        <v>0.50449999999999995</v>
      </c>
      <c r="P17" s="302">
        <v>0.61329999999999996</v>
      </c>
      <c r="Q17" s="302">
        <v>0.73199999999999998</v>
      </c>
      <c r="R17" s="302">
        <v>0.86250000000000004</v>
      </c>
      <c r="S17" s="302">
        <v>1.0069999999999999</v>
      </c>
      <c r="T17" s="302">
        <v>1.169</v>
      </c>
      <c r="U17" s="302">
        <v>1.351</v>
      </c>
      <c r="V17" s="302">
        <v>1.5609999999999999</v>
      </c>
      <c r="W17" s="302">
        <v>1.806</v>
      </c>
      <c r="X17" s="302">
        <v>2.4649999999999999</v>
      </c>
      <c r="Y17" s="302">
        <v>3.6280000000000001</v>
      </c>
    </row>
    <row r="18" spans="1:25" x14ac:dyDescent="0.2">
      <c r="A18" s="302">
        <v>0.65</v>
      </c>
      <c r="B18" s="302">
        <v>1.3958E-2</v>
      </c>
      <c r="C18" s="302">
        <v>2.8087000000000001E-2</v>
      </c>
      <c r="D18" s="302">
        <v>4.2390999999999998E-2</v>
      </c>
      <c r="E18" s="302">
        <v>5.6874000000000001E-2</v>
      </c>
      <c r="F18" s="302">
        <v>7.1538000000000004E-2</v>
      </c>
      <c r="G18" s="302">
        <v>8.6388000000000006E-2</v>
      </c>
      <c r="H18" s="302">
        <v>0.10143000000000001</v>
      </c>
      <c r="I18" s="302">
        <v>0.11666</v>
      </c>
      <c r="J18" s="302">
        <v>0.13209000000000001</v>
      </c>
      <c r="K18" s="302">
        <v>0.14773</v>
      </c>
      <c r="L18" s="302">
        <v>0.2291</v>
      </c>
      <c r="M18" s="302">
        <v>0.31630000000000003</v>
      </c>
      <c r="N18" s="302">
        <v>0.41008</v>
      </c>
      <c r="O18" s="302">
        <v>0.51139999999999997</v>
      </c>
      <c r="P18" s="302">
        <v>0.62129999999999996</v>
      </c>
      <c r="Q18" s="302">
        <v>0.74119999999999997</v>
      </c>
      <c r="R18" s="302">
        <v>0.87290000000000001</v>
      </c>
      <c r="S18" s="302">
        <v>1.0189999999999999</v>
      </c>
      <c r="T18" s="302">
        <v>1.1819999999999999</v>
      </c>
      <c r="U18" s="302">
        <v>1.3680000000000001</v>
      </c>
      <c r="V18" s="302">
        <v>1.577</v>
      </c>
      <c r="W18" s="302">
        <v>1.8240000000000001</v>
      </c>
      <c r="X18" s="302">
        <v>2.4860000000000002</v>
      </c>
      <c r="Y18" s="302">
        <v>3.6539999999999999</v>
      </c>
    </row>
    <row r="19" spans="1:25" x14ac:dyDescent="0.2">
      <c r="A19" s="302">
        <v>0.7</v>
      </c>
      <c r="B19" s="302">
        <v>1.4171E-2</v>
      </c>
      <c r="C19" s="302">
        <v>2.8513E-2</v>
      </c>
      <c r="D19" s="302">
        <v>4.3029999999999999E-2</v>
      </c>
      <c r="E19" s="302">
        <v>5.7726E-2</v>
      </c>
      <c r="F19" s="302">
        <v>7.2505E-2</v>
      </c>
      <c r="G19" s="302">
        <v>8.7669999999999998E-2</v>
      </c>
      <c r="H19" s="302">
        <v>0.10292</v>
      </c>
      <c r="I19" s="302">
        <v>0.11837</v>
      </c>
      <c r="J19" s="302">
        <v>0.13402</v>
      </c>
      <c r="K19" s="302">
        <v>0.14987</v>
      </c>
      <c r="L19" s="302">
        <v>0.23233999999999999</v>
      </c>
      <c r="M19" s="302">
        <v>0.32064999999999999</v>
      </c>
      <c r="N19" s="302">
        <v>0.41554999999999997</v>
      </c>
      <c r="O19" s="302">
        <v>0.51800000000000002</v>
      </c>
      <c r="P19" s="302">
        <v>0.62909999999999999</v>
      </c>
      <c r="Q19" s="302">
        <v>0.75019999999999998</v>
      </c>
      <c r="R19" s="302">
        <v>0.88319999999999999</v>
      </c>
      <c r="S19" s="302">
        <v>1.03</v>
      </c>
      <c r="T19" s="302">
        <v>1.1950000000000001</v>
      </c>
      <c r="U19" s="302">
        <v>1.38</v>
      </c>
      <c r="V19" s="302">
        <v>1.593</v>
      </c>
      <c r="W19" s="302">
        <v>1.841</v>
      </c>
      <c r="X19" s="302">
        <v>2.5070000000000001</v>
      </c>
      <c r="Y19" s="302">
        <v>3.6789999999999998</v>
      </c>
    </row>
    <row r="20" spans="1:25" x14ac:dyDescent="0.2">
      <c r="A20" s="302">
        <v>0.75</v>
      </c>
      <c r="B20" s="302">
        <v>1.4378E-2</v>
      </c>
      <c r="C20" s="302">
        <v>2.9926999999999999E-2</v>
      </c>
      <c r="D20" s="302">
        <v>4.3652000000000003E-2</v>
      </c>
      <c r="E20" s="302">
        <v>5.8555999999999997E-2</v>
      </c>
      <c r="F20" s="302">
        <v>7.3643E-2</v>
      </c>
      <c r="G20" s="302">
        <v>8.8916999999999996E-2</v>
      </c>
      <c r="H20" s="302">
        <v>0.10438</v>
      </c>
      <c r="I20" s="302">
        <v>0.12003999999999999</v>
      </c>
      <c r="J20" s="302">
        <v>0.13589999999999999</v>
      </c>
      <c r="K20" s="302">
        <v>0.15196000000000001</v>
      </c>
      <c r="L20" s="302">
        <v>0.23549999999999999</v>
      </c>
      <c r="M20" s="302">
        <v>0.32489000000000001</v>
      </c>
      <c r="N20" s="302">
        <v>0.4209</v>
      </c>
      <c r="O20" s="302">
        <v>0.52449999999999997</v>
      </c>
      <c r="P20" s="302">
        <v>0.63670000000000004</v>
      </c>
      <c r="Q20" s="302">
        <v>0.75900000000000001</v>
      </c>
      <c r="R20" s="302">
        <v>0.89319999999999999</v>
      </c>
      <c r="S20" s="302">
        <v>1.042</v>
      </c>
      <c r="T20" s="302">
        <v>1.2070000000000001</v>
      </c>
      <c r="U20" s="302">
        <v>1.3939999999999999</v>
      </c>
      <c r="V20" s="302">
        <v>1.6080000000000001</v>
      </c>
      <c r="W20" s="302">
        <v>1.851</v>
      </c>
      <c r="X20" s="302">
        <v>2.528</v>
      </c>
      <c r="Y20" s="302">
        <v>3.7050000000000001</v>
      </c>
    </row>
    <row r="21" spans="1:25" x14ac:dyDescent="0.2">
      <c r="A21" s="302">
        <v>0.8</v>
      </c>
      <c r="B21" s="302">
        <v>1.4579E-2</v>
      </c>
      <c r="C21" s="302">
        <v>2.9329999999999998E-2</v>
      </c>
      <c r="D21" s="302">
        <v>4.4257999999999999E-2</v>
      </c>
      <c r="E21" s="302">
        <v>5.9364E-2</v>
      </c>
      <c r="F21" s="302">
        <v>7.4654999999999999E-2</v>
      </c>
      <c r="G21" s="302">
        <v>9.0133000000000005E-2</v>
      </c>
      <c r="H21" s="302">
        <v>0.10580000000000001</v>
      </c>
      <c r="I21" s="302">
        <v>0.12167</v>
      </c>
      <c r="J21" s="302">
        <v>0.13775000000000001</v>
      </c>
      <c r="K21" s="302">
        <v>0.154</v>
      </c>
      <c r="L21" s="302">
        <v>0.23857999999999999</v>
      </c>
      <c r="M21" s="302">
        <v>0.32902999999999999</v>
      </c>
      <c r="N21" s="302">
        <v>0.42612</v>
      </c>
      <c r="O21" s="302">
        <v>0.53080000000000005</v>
      </c>
      <c r="P21" s="302">
        <v>0.64410000000000001</v>
      </c>
      <c r="Q21" s="302">
        <v>0.76759999999999995</v>
      </c>
      <c r="R21" s="302">
        <v>0.90310000000000001</v>
      </c>
      <c r="S21" s="302">
        <v>1.0529999999999999</v>
      </c>
      <c r="T21" s="302">
        <v>1.22</v>
      </c>
      <c r="U21" s="302">
        <v>1.4079999999999999</v>
      </c>
      <c r="V21" s="302">
        <v>1.6240000000000001</v>
      </c>
      <c r="W21" s="302">
        <v>1.875</v>
      </c>
      <c r="X21" s="302">
        <v>2.548</v>
      </c>
      <c r="Y21" s="302">
        <v>3.73</v>
      </c>
    </row>
    <row r="22" spans="1:25" x14ac:dyDescent="0.2">
      <c r="A22" s="302">
        <v>0.85</v>
      </c>
      <c r="B22" s="302">
        <v>1.4773E-2</v>
      </c>
      <c r="C22" s="302">
        <v>2.9722999999999999E-2</v>
      </c>
      <c r="D22" s="302">
        <v>4.4847999999999999E-2</v>
      </c>
      <c r="E22" s="302">
        <v>6.0152999999999998E-2</v>
      </c>
      <c r="F22" s="302">
        <v>7.5642000000000001E-2</v>
      </c>
      <c r="G22" s="302">
        <v>9.1318999999999997E-2</v>
      </c>
      <c r="H22" s="302">
        <v>0.10718999999999999</v>
      </c>
      <c r="I22" s="302">
        <v>0.12225</v>
      </c>
      <c r="J22" s="302">
        <v>0.13952000000000001</v>
      </c>
      <c r="K22" s="302">
        <v>0.15598999999999999</v>
      </c>
      <c r="L22" s="302">
        <v>0.24157999999999999</v>
      </c>
      <c r="M22" s="302">
        <v>0.33306999999999998</v>
      </c>
      <c r="N22" s="302">
        <v>0.43121999999999999</v>
      </c>
      <c r="O22" s="302">
        <v>0.53700000000000003</v>
      </c>
      <c r="P22" s="302">
        <v>0.65149999999999997</v>
      </c>
      <c r="Q22" s="302">
        <v>0.77810000000000001</v>
      </c>
      <c r="R22" s="302">
        <v>0.91269999999999996</v>
      </c>
      <c r="S22" s="302">
        <v>1.0640000000000001</v>
      </c>
      <c r="T22" s="302">
        <v>1.232</v>
      </c>
      <c r="U22" s="302">
        <v>1.4219999999999999</v>
      </c>
      <c r="V22" s="302">
        <v>1.639</v>
      </c>
      <c r="W22" s="302">
        <v>1.8919999999999999</v>
      </c>
      <c r="X22" s="302">
        <v>2.5680000000000001</v>
      </c>
      <c r="Y22" s="302">
        <v>3.754</v>
      </c>
    </row>
    <row r="23" spans="1:25" x14ac:dyDescent="0.2">
      <c r="A23" s="302">
        <v>0.9</v>
      </c>
      <c r="B23" s="302">
        <v>1.4966999999999999E-2</v>
      </c>
      <c r="C23" s="302">
        <v>3.0106999999999998E-2</v>
      </c>
      <c r="D23" s="302">
        <v>4.5425E-2</v>
      </c>
      <c r="E23" s="302">
        <v>6.0922999999999998E-2</v>
      </c>
      <c r="F23" s="302">
        <v>7.5606000000000007E-2</v>
      </c>
      <c r="G23" s="302">
        <v>9.2477000000000004E-2</v>
      </c>
      <c r="H23" s="302">
        <v>0.10854</v>
      </c>
      <c r="I23" s="302">
        <v>0.12479999999999999</v>
      </c>
      <c r="J23" s="302">
        <v>0.14126</v>
      </c>
      <c r="K23" s="302">
        <v>0.15792999999999999</v>
      </c>
      <c r="L23" s="302">
        <v>0.24451999999999999</v>
      </c>
      <c r="M23" s="302">
        <v>0.33703</v>
      </c>
      <c r="N23" s="302">
        <v>0.43622</v>
      </c>
      <c r="O23" s="302">
        <v>0.54300000000000004</v>
      </c>
      <c r="P23" s="302">
        <v>0.65859999999999996</v>
      </c>
      <c r="Q23" s="302">
        <v>0.78439999999999999</v>
      </c>
      <c r="R23" s="302">
        <v>0.92220000000000002</v>
      </c>
      <c r="S23" s="302">
        <v>1.0740000000000001</v>
      </c>
      <c r="T23" s="302">
        <v>1.244</v>
      </c>
      <c r="U23" s="302">
        <v>1.4350000000000001</v>
      </c>
      <c r="V23" s="302">
        <v>1.653</v>
      </c>
      <c r="W23" s="302">
        <v>1.9079999999999999</v>
      </c>
      <c r="X23" s="302">
        <v>2.5880000000000001</v>
      </c>
      <c r="Y23" s="302">
        <v>3.7789999999999999</v>
      </c>
    </row>
    <row r="24" spans="1:25" x14ac:dyDescent="0.2">
      <c r="A24" s="302">
        <v>0.95</v>
      </c>
      <c r="B24" s="302">
        <v>1.5154000000000001E-2</v>
      </c>
      <c r="C24" s="302">
        <v>3.0483E-2</v>
      </c>
      <c r="D24" s="302">
        <v>4.5989000000000002E-2</v>
      </c>
      <c r="E24" s="302">
        <v>6.1676000000000002E-2</v>
      </c>
      <c r="F24" s="302">
        <v>7.7549000000000007E-2</v>
      </c>
      <c r="G24" s="302">
        <v>9.3611E-2</v>
      </c>
      <c r="H24" s="302">
        <v>0.10987</v>
      </c>
      <c r="I24" s="302">
        <v>0.12631999999999999</v>
      </c>
      <c r="J24" s="302">
        <v>0.14297000000000001</v>
      </c>
      <c r="K24" s="302">
        <v>0.15983</v>
      </c>
      <c r="L24" s="302">
        <v>0.24740000000000001</v>
      </c>
      <c r="M24" s="302">
        <v>0.34090999999999999</v>
      </c>
      <c r="N24" s="302">
        <v>0.44112000000000001</v>
      </c>
      <c r="O24" s="302">
        <v>0.54900000000000004</v>
      </c>
      <c r="P24" s="302">
        <v>0.66559999999999997</v>
      </c>
      <c r="Q24" s="302">
        <v>0.79249999999999998</v>
      </c>
      <c r="R24" s="302">
        <v>0.93140000000000001</v>
      </c>
      <c r="S24" s="302">
        <v>1.085</v>
      </c>
      <c r="T24" s="302">
        <v>1.2549999999999999</v>
      </c>
      <c r="U24" s="302">
        <v>1.448</v>
      </c>
      <c r="V24" s="302">
        <v>1.6679999999999999</v>
      </c>
      <c r="W24" s="302">
        <v>1.9239999999999999</v>
      </c>
      <c r="X24" s="302">
        <v>2.6070000000000002</v>
      </c>
      <c r="Y24" s="302">
        <v>3.8029999999999999</v>
      </c>
    </row>
    <row r="25" spans="1:25" x14ac:dyDescent="0.2">
      <c r="A25" s="302">
        <v>1</v>
      </c>
      <c r="B25" s="302">
        <v>1.5337999999999999E-2</v>
      </c>
      <c r="C25" s="302">
        <v>3.0849999999999999E-2</v>
      </c>
      <c r="D25" s="302">
        <v>4.6539999999999998E-2</v>
      </c>
      <c r="E25" s="302">
        <v>6.2413000000000003E-2</v>
      </c>
      <c r="F25" s="302">
        <v>7.8470999999999999E-2</v>
      </c>
      <c r="G25" s="302">
        <v>9.4719999999999999E-2</v>
      </c>
      <c r="H25" s="302">
        <v>0.11115999999999999</v>
      </c>
      <c r="I25" s="302">
        <v>0.1278</v>
      </c>
      <c r="J25" s="302">
        <v>0.14465</v>
      </c>
      <c r="K25" s="302">
        <v>0.16170000000000001</v>
      </c>
      <c r="L25" s="302">
        <v>0.25022</v>
      </c>
      <c r="M25" s="302">
        <v>0.34471000000000002</v>
      </c>
      <c r="N25" s="302">
        <v>0.44591999999999998</v>
      </c>
      <c r="O25" s="302">
        <v>0.55479999999999996</v>
      </c>
      <c r="P25" s="302">
        <v>0.6724</v>
      </c>
      <c r="Q25" s="302">
        <v>0.80049999999999999</v>
      </c>
      <c r="R25" s="302">
        <v>0.94059999999999999</v>
      </c>
      <c r="S25" s="302">
        <v>1.095</v>
      </c>
      <c r="T25" s="302">
        <v>1.2869999999999999</v>
      </c>
      <c r="U25" s="302">
        <v>1.4610000000000001</v>
      </c>
      <c r="V25" s="302">
        <v>1.8819999999999999</v>
      </c>
      <c r="W25" s="302">
        <v>1.94</v>
      </c>
      <c r="X25" s="302">
        <v>2.6259999999999999</v>
      </c>
      <c r="Y25" s="302">
        <v>3.827</v>
      </c>
    </row>
    <row r="26" spans="1:25" s="246" customFormat="1" x14ac:dyDescent="0.2">
      <c r="A26" s="302"/>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row>
    <row r="27" spans="1:25" s="239" customFormat="1" x14ac:dyDescent="0.2">
      <c r="A27" s="304" t="s">
        <v>242</v>
      </c>
      <c r="B27" s="306"/>
      <c r="C27" s="306"/>
      <c r="D27" s="306"/>
      <c r="E27" s="306"/>
      <c r="F27" s="306"/>
      <c r="G27" s="301"/>
      <c r="H27" s="301"/>
      <c r="I27" s="301"/>
      <c r="J27" s="301"/>
      <c r="K27" s="301"/>
      <c r="L27" s="301"/>
      <c r="M27" s="301"/>
      <c r="N27" s="301"/>
      <c r="O27" s="301"/>
      <c r="P27" s="301"/>
      <c r="Q27" s="301"/>
      <c r="R27" s="301"/>
      <c r="S27" s="301"/>
      <c r="T27" s="301"/>
      <c r="U27" s="301"/>
      <c r="V27" s="301"/>
      <c r="W27" s="301"/>
      <c r="X27" s="301"/>
      <c r="Y27" s="301"/>
    </row>
    <row r="28" spans="1:25" s="246" customFormat="1" x14ac:dyDescent="0.2">
      <c r="C28" s="1" t="s">
        <v>552</v>
      </c>
      <c r="G28" s="302"/>
      <c r="H28" s="302"/>
      <c r="I28" s="302"/>
      <c r="J28" s="302"/>
      <c r="K28" s="302"/>
      <c r="L28" s="302"/>
      <c r="M28" s="302"/>
      <c r="N28" s="302"/>
      <c r="O28" s="302"/>
      <c r="P28" s="302"/>
      <c r="Q28" s="302"/>
      <c r="R28" s="302"/>
      <c r="S28" s="302"/>
      <c r="T28" s="302"/>
      <c r="U28" s="302"/>
      <c r="V28" s="302"/>
      <c r="W28" s="302"/>
      <c r="X28" s="302"/>
      <c r="Y28" s="302"/>
    </row>
    <row r="29" spans="1:25" s="246" customFormat="1" x14ac:dyDescent="0.2">
      <c r="A29" s="1" t="s">
        <v>545</v>
      </c>
      <c r="B29" s="237">
        <f>(N-M)/N</f>
        <v>0.63636363636363635</v>
      </c>
      <c r="C29" s="246">
        <f>ROUND(B29*20,0)+1</f>
        <v>14</v>
      </c>
      <c r="E29" s="1" t="s">
        <v>550</v>
      </c>
      <c r="F29" s="237">
        <f>INDEX(Lambda_table,C29,C30)</f>
        <v>3.6280000000000001</v>
      </c>
      <c r="G29" s="302"/>
      <c r="H29" s="302"/>
      <c r="I29" s="302"/>
      <c r="J29" s="302"/>
      <c r="K29" s="302"/>
      <c r="L29" s="302"/>
      <c r="M29" s="302"/>
      <c r="N29" s="302"/>
      <c r="O29" s="302"/>
      <c r="P29" s="302"/>
      <c r="Q29" s="302"/>
      <c r="R29" s="302"/>
      <c r="S29" s="302"/>
      <c r="T29" s="302"/>
      <c r="U29" s="302"/>
      <c r="V29" s="302"/>
      <c r="W29" s="302"/>
      <c r="X29" s="302"/>
      <c r="Y29" s="302"/>
    </row>
    <row r="30" spans="1:25" s="246" customFormat="1" x14ac:dyDescent="0.2">
      <c r="A30" s="303" t="s">
        <v>551</v>
      </c>
      <c r="B30" s="237">
        <f>(B33^2)/((B32-B31)^2)</f>
        <v>23.38528281105458</v>
      </c>
      <c r="C30" s="246">
        <f>IF(B30&lt;=0.1,ROUND(B30*100,0),IF(AND(B30&gt;0.1,B30&lt;=0.7),ROUND(B30*20,0)+8,IF(ROUND(B30,0)=0.8,23,24)))+1</f>
        <v>25</v>
      </c>
      <c r="F30" s="237"/>
      <c r="G30" s="302"/>
      <c r="H30" s="302"/>
      <c r="I30" s="302"/>
      <c r="J30" s="302"/>
      <c r="K30" s="302"/>
      <c r="L30" s="302"/>
      <c r="M30" s="302"/>
      <c r="N30" s="302"/>
      <c r="O30" s="302"/>
      <c r="P30" s="302"/>
      <c r="Q30" s="302"/>
      <c r="R30" s="302"/>
      <c r="S30" s="302"/>
      <c r="T30" s="302"/>
      <c r="U30" s="302"/>
      <c r="V30" s="302"/>
      <c r="W30" s="302"/>
      <c r="X30" s="302"/>
      <c r="Y30" s="302"/>
    </row>
    <row r="31" spans="1:25" s="246" customFormat="1" x14ac:dyDescent="0.2">
      <c r="A31" s="1" t="s">
        <v>553</v>
      </c>
      <c r="B31" s="237">
        <f>AVERAGE(C52:C101)</f>
        <v>-4.3242789284821699</v>
      </c>
      <c r="F31" s="237"/>
      <c r="G31" s="302"/>
      <c r="H31" s="302"/>
      <c r="I31" s="302"/>
      <c r="J31" s="302"/>
      <c r="K31" s="302"/>
      <c r="L31" s="302"/>
      <c r="M31" s="302"/>
      <c r="N31" s="302"/>
      <c r="O31" s="302"/>
      <c r="P31" s="302"/>
      <c r="Q31" s="302"/>
      <c r="R31" s="302"/>
      <c r="S31" s="302"/>
      <c r="T31" s="302"/>
      <c r="U31" s="302"/>
      <c r="V31" s="302"/>
      <c r="W31" s="302"/>
      <c r="X31" s="302"/>
      <c r="Y31" s="302"/>
    </row>
    <row r="32" spans="1:25" s="246" customFormat="1" x14ac:dyDescent="0.2">
      <c r="A32" s="1" t="s">
        <v>554</v>
      </c>
      <c r="B32" s="237">
        <f>STAT!AB15</f>
        <v>-4.5432771655548532</v>
      </c>
      <c r="E32" s="1" t="s">
        <v>556</v>
      </c>
      <c r="F32" s="237">
        <f>EXP(B32-F29*(B32-B31))</f>
        <v>2.3547124651418023E-2</v>
      </c>
      <c r="G32" s="302"/>
      <c r="H32" s="302"/>
      <c r="I32" s="302"/>
      <c r="J32" s="302"/>
      <c r="K32" s="302"/>
      <c r="L32" s="302"/>
      <c r="M32" s="302"/>
      <c r="N32" s="302"/>
      <c r="O32" s="302"/>
      <c r="P32" s="302"/>
      <c r="Q32" s="302"/>
      <c r="R32" s="302"/>
      <c r="S32" s="302"/>
      <c r="T32" s="302"/>
      <c r="U32" s="302"/>
      <c r="V32" s="302"/>
      <c r="W32" s="302"/>
      <c r="X32" s="302"/>
      <c r="Y32" s="302"/>
    </row>
    <row r="33" spans="1:6" x14ac:dyDescent="0.2">
      <c r="A33" s="1" t="s">
        <v>555</v>
      </c>
      <c r="B33" s="237">
        <f>STAT!AB16</f>
        <v>1.0590389472267157</v>
      </c>
      <c r="C33" s="246"/>
      <c r="D33" s="246"/>
      <c r="E33" s="1" t="s">
        <v>557</v>
      </c>
      <c r="F33" s="237">
        <f>EXP(B33^2 + F29*(B32-B31)^2)</f>
        <v>3.6530527881925816</v>
      </c>
    </row>
    <row r="34" spans="1:6" s="246" customFormat="1" x14ac:dyDescent="0.2">
      <c r="A34" s="1"/>
      <c r="B34" s="237"/>
      <c r="E34" s="1" t="s">
        <v>558</v>
      </c>
      <c r="F34" s="237">
        <f>EXP(LN(F32)+0.5*LN(F33)^2)</f>
        <v>5.4502453444511489E-2</v>
      </c>
    </row>
    <row r="35" spans="1:6" s="246" customFormat="1" x14ac:dyDescent="0.2">
      <c r="A35" s="1"/>
      <c r="B35" s="237"/>
      <c r="E35" s="1"/>
      <c r="F35" s="237"/>
    </row>
    <row r="36" spans="1:6" s="246" customFormat="1" x14ac:dyDescent="0.2">
      <c r="A36" s="1"/>
      <c r="B36" s="237"/>
      <c r="E36" s="1"/>
      <c r="F36" s="237"/>
    </row>
    <row r="37" spans="1:6" s="239" customFormat="1" x14ac:dyDescent="0.2">
      <c r="A37" s="304" t="s">
        <v>244</v>
      </c>
      <c r="B37" s="304"/>
      <c r="C37" s="304"/>
      <c r="D37" s="304"/>
      <c r="E37" s="304"/>
      <c r="F37" s="305"/>
    </row>
    <row r="38" spans="1:6" x14ac:dyDescent="0.2">
      <c r="C38" s="1" t="s">
        <v>552</v>
      </c>
      <c r="F38" s="237"/>
    </row>
    <row r="39" spans="1:6" x14ac:dyDescent="0.2">
      <c r="A39" s="1" t="s">
        <v>545</v>
      </c>
      <c r="B39" s="237">
        <f>(N-M)/N</f>
        <v>0.63636363636363635</v>
      </c>
      <c r="C39">
        <f>ROUND(B39*20,0)+1</f>
        <v>14</v>
      </c>
      <c r="E39" s="1" t="s">
        <v>550</v>
      </c>
      <c r="F39" s="237">
        <f>INDEX(Lambda_table,C39,C40)</f>
        <v>3.6280000000000001</v>
      </c>
    </row>
    <row r="40" spans="1:6" x14ac:dyDescent="0.2">
      <c r="A40" s="303" t="s">
        <v>551</v>
      </c>
      <c r="B40" s="237">
        <f>(B43^2)/((B42-B41)^2)</f>
        <v>22.908211704126856</v>
      </c>
      <c r="C40" s="246">
        <f>IF(B40&lt;=0.1,ROUND(B40*100,0),IF(B40&lt;=0.7,ROUND(B40*20,0)+8,IF(ROUND(B40,0)=0.8,23,24)))+1</f>
        <v>25</v>
      </c>
      <c r="F40" s="237"/>
    </row>
    <row r="41" spans="1:6" x14ac:dyDescent="0.2">
      <c r="A41" s="1" t="s">
        <v>546</v>
      </c>
      <c r="B41">
        <f>AVERAGE(B52:B101)</f>
        <v>1.325E-2</v>
      </c>
      <c r="F41" s="237"/>
    </row>
    <row r="42" spans="1:6" x14ac:dyDescent="0.2">
      <c r="A42" s="1" t="s">
        <v>549</v>
      </c>
      <c r="B42" s="237">
        <f>STAT!AB12</f>
        <v>1.5985714285714287E-2</v>
      </c>
      <c r="E42" s="1" t="s">
        <v>558</v>
      </c>
      <c r="F42" s="237">
        <f>B42-F39*(B42-B41)</f>
        <v>6.0605428571428518E-3</v>
      </c>
    </row>
    <row r="43" spans="1:6" x14ac:dyDescent="0.2">
      <c r="A43" s="1" t="s">
        <v>548</v>
      </c>
      <c r="B43" s="237">
        <f>STAT!AB14</f>
        <v>1.3093818970724138E-2</v>
      </c>
      <c r="E43" s="1" t="s">
        <v>559</v>
      </c>
      <c r="F43" s="237">
        <f>B43^2 + F39*(B42-B41)^2</f>
        <v>1.986005285034015E-4</v>
      </c>
    </row>
    <row r="44" spans="1:6" s="246" customFormat="1" x14ac:dyDescent="0.2">
      <c r="A44" s="1"/>
      <c r="B44" s="237"/>
      <c r="E44" s="1"/>
    </row>
    <row r="45" spans="1:6" s="246" customFormat="1" x14ac:dyDescent="0.2">
      <c r="A45" s="1"/>
      <c r="B45" s="237"/>
      <c r="E45" s="1"/>
    </row>
    <row r="46" spans="1:6" s="246" customFormat="1" x14ac:dyDescent="0.2">
      <c r="A46" s="1"/>
      <c r="B46" s="237"/>
      <c r="E46" s="1"/>
    </row>
    <row r="47" spans="1:6" s="246" customFormat="1" x14ac:dyDescent="0.2">
      <c r="A47" s="1"/>
      <c r="B47" s="237"/>
      <c r="E47" s="1"/>
    </row>
    <row r="48" spans="1:6" s="246" customFormat="1" x14ac:dyDescent="0.2">
      <c r="A48" s="1"/>
      <c r="B48" s="237"/>
      <c r="E48" s="1"/>
    </row>
    <row r="49" spans="1:6" s="246" customFormat="1" x14ac:dyDescent="0.2">
      <c r="A49" s="1"/>
      <c r="B49" s="237"/>
      <c r="E49" s="1"/>
    </row>
    <row r="50" spans="1:6" x14ac:dyDescent="0.2">
      <c r="A50" s="307" t="s">
        <v>547</v>
      </c>
      <c r="B50" s="308"/>
      <c r="C50" s="308"/>
      <c r="D50" s="308"/>
      <c r="E50" s="308"/>
      <c r="F50" s="308"/>
    </row>
    <row r="51" spans="1:6" s="246" customFormat="1" x14ac:dyDescent="0.2">
      <c r="A51" s="307" t="s">
        <v>560</v>
      </c>
      <c r="B51" s="309" t="s">
        <v>448</v>
      </c>
      <c r="C51" s="309" t="s">
        <v>561</v>
      </c>
      <c r="D51" s="308"/>
      <c r="E51" s="308"/>
      <c r="F51" s="308"/>
    </row>
    <row r="52" spans="1:6" x14ac:dyDescent="0.2">
      <c r="A52" s="246">
        <v>1</v>
      </c>
      <c r="B52" t="str">
        <f>IF(AND(DATA!D13&lt;&gt;"",ISNUMBER(DATA!B13)),DATA!B13,"")</f>
        <v/>
      </c>
      <c r="C52" s="237" t="str">
        <f>IF(ISNUMBER(B52),LN(B52),"")</f>
        <v/>
      </c>
    </row>
    <row r="53" spans="1:6" x14ac:dyDescent="0.2">
      <c r="A53" s="246">
        <v>2</v>
      </c>
      <c r="B53" s="246" t="str">
        <f>IF(AND(DATA!D14&lt;&gt;"",ISNUMBER(DATA!B14)),DATA!B14,"")</f>
        <v/>
      </c>
      <c r="C53" s="237" t="str">
        <f t="shared" ref="C53:C101" si="0">IF(ISNUMBER(B53),LN(B53),"")</f>
        <v/>
      </c>
    </row>
    <row r="54" spans="1:6" x14ac:dyDescent="0.2">
      <c r="A54" s="246">
        <v>3</v>
      </c>
      <c r="B54" s="246">
        <f>IF(AND(DATA!D15&lt;&gt;"",ISNUMBER(DATA!B15)),DATA!B15,"")</f>
        <v>1.2999999999999999E-2</v>
      </c>
      <c r="C54" s="237">
        <f t="shared" si="0"/>
        <v>-4.3428059215206005</v>
      </c>
    </row>
    <row r="55" spans="1:6" x14ac:dyDescent="0.2">
      <c r="A55" s="246">
        <v>4</v>
      </c>
      <c r="B55" s="246" t="str">
        <f>IF(AND(DATA!D16&lt;&gt;"",ISNUMBER(DATA!B16)),DATA!B16,"")</f>
        <v/>
      </c>
      <c r="C55" s="237" t="str">
        <f t="shared" si="0"/>
        <v/>
      </c>
    </row>
    <row r="56" spans="1:6" x14ac:dyDescent="0.2">
      <c r="A56" s="246">
        <v>5</v>
      </c>
      <c r="B56" s="246" t="str">
        <f>IF(AND(DATA!D17&lt;&gt;"",ISNUMBER(DATA!B17)),DATA!B17,"")</f>
        <v/>
      </c>
      <c r="C56" s="237" t="str">
        <f t="shared" si="0"/>
        <v/>
      </c>
    </row>
    <row r="57" spans="1:6" x14ac:dyDescent="0.2">
      <c r="A57" s="246">
        <v>6</v>
      </c>
      <c r="B57" s="246" t="str">
        <f>IF(AND(DATA!D18&lt;&gt;"",ISNUMBER(DATA!B18)),DATA!B18,"")</f>
        <v/>
      </c>
      <c r="C57" s="237" t="str">
        <f t="shared" si="0"/>
        <v/>
      </c>
    </row>
    <row r="58" spans="1:6" x14ac:dyDescent="0.2">
      <c r="A58" s="246">
        <v>7</v>
      </c>
      <c r="B58" s="246">
        <f>IF(AND(DATA!D19&lt;&gt;"",ISNUMBER(DATA!B19)),DATA!B19,"")</f>
        <v>1.2999999999999999E-2</v>
      </c>
      <c r="C58" s="237">
        <f t="shared" si="0"/>
        <v>-4.3428059215206005</v>
      </c>
    </row>
    <row r="59" spans="1:6" x14ac:dyDescent="0.2">
      <c r="A59" s="246">
        <v>8</v>
      </c>
      <c r="B59" s="246">
        <f>IF(AND(DATA!D20&lt;&gt;"",ISNUMBER(DATA!B20)),DATA!B20,"")</f>
        <v>1.2999999999999999E-2</v>
      </c>
      <c r="C59" s="237">
        <f t="shared" si="0"/>
        <v>-4.3428059215206005</v>
      </c>
    </row>
    <row r="60" spans="1:6" x14ac:dyDescent="0.2">
      <c r="A60" s="246">
        <v>9</v>
      </c>
      <c r="B60" s="246" t="str">
        <f>IF(AND(DATA!D21&lt;&gt;"",ISNUMBER(DATA!B21)),DATA!B21,"")</f>
        <v/>
      </c>
      <c r="C60" s="237" t="str">
        <f t="shared" si="0"/>
        <v/>
      </c>
    </row>
    <row r="61" spans="1:6" x14ac:dyDescent="0.2">
      <c r="A61" s="246">
        <v>10</v>
      </c>
      <c r="B61" s="246">
        <f>IF(AND(DATA!D22&lt;&gt;"",ISNUMBER(DATA!B22)),DATA!B22,"")</f>
        <v>1.4E-2</v>
      </c>
      <c r="C61" s="237">
        <f t="shared" si="0"/>
        <v>-4.2686979493668789</v>
      </c>
    </row>
    <row r="62" spans="1:6" x14ac:dyDescent="0.2">
      <c r="A62" s="246">
        <v>11</v>
      </c>
      <c r="B62" s="246" t="str">
        <f>IF(AND(DATA!D23&lt;&gt;"",ISNUMBER(DATA!B23)),DATA!B23,"")</f>
        <v/>
      </c>
      <c r="C62" s="237" t="str">
        <f t="shared" si="0"/>
        <v/>
      </c>
    </row>
    <row r="63" spans="1:6" x14ac:dyDescent="0.2">
      <c r="A63" s="246">
        <v>12</v>
      </c>
      <c r="B63" s="246" t="str">
        <f>IF(AND(DATA!D24&lt;&gt;"",ISNUMBER(DATA!B24)),DATA!B24,"")</f>
        <v/>
      </c>
      <c r="C63" s="237" t="str">
        <f t="shared" si="0"/>
        <v/>
      </c>
    </row>
    <row r="64" spans="1:6" x14ac:dyDescent="0.2">
      <c r="A64" s="246">
        <v>13</v>
      </c>
      <c r="B64" s="246" t="str">
        <f>IF(AND(DATA!D25&lt;&gt;"",ISNUMBER(DATA!B25)),DATA!B25,"")</f>
        <v/>
      </c>
      <c r="C64" s="237" t="str">
        <f t="shared" si="0"/>
        <v/>
      </c>
    </row>
    <row r="65" spans="1:3" x14ac:dyDescent="0.2">
      <c r="A65" s="246">
        <v>14</v>
      </c>
      <c r="B65" s="246" t="str">
        <f>IF(AND(DATA!D26&lt;&gt;"",ISNUMBER(DATA!B26)),DATA!B26,"")</f>
        <v/>
      </c>
      <c r="C65" s="237" t="str">
        <f t="shared" si="0"/>
        <v/>
      </c>
    </row>
    <row r="66" spans="1:3" x14ac:dyDescent="0.2">
      <c r="A66" s="246">
        <v>15</v>
      </c>
      <c r="B66" s="246" t="str">
        <f>IF(AND(DATA!D27&lt;&gt;"",ISNUMBER(DATA!B27)),DATA!B27,"")</f>
        <v/>
      </c>
      <c r="C66" s="237" t="str">
        <f t="shared" si="0"/>
        <v/>
      </c>
    </row>
    <row r="67" spans="1:3" x14ac:dyDescent="0.2">
      <c r="A67" s="246">
        <v>16</v>
      </c>
      <c r="B67" s="246" t="str">
        <f>IF(AND(DATA!D28&lt;&gt;"",ISNUMBER(DATA!B28)),DATA!B28,"")</f>
        <v/>
      </c>
      <c r="C67" s="237" t="str">
        <f t="shared" si="0"/>
        <v/>
      </c>
    </row>
    <row r="68" spans="1:3" x14ac:dyDescent="0.2">
      <c r="A68" s="246">
        <v>17</v>
      </c>
      <c r="B68" s="246" t="str">
        <f>IF(AND(DATA!D29&lt;&gt;"",ISNUMBER(DATA!B29)),DATA!B29,"")</f>
        <v/>
      </c>
      <c r="C68" s="237" t="str">
        <f t="shared" si="0"/>
        <v/>
      </c>
    </row>
    <row r="69" spans="1:3" x14ac:dyDescent="0.2">
      <c r="A69" s="246">
        <v>18</v>
      </c>
      <c r="B69" s="246" t="str">
        <f>IF(AND(DATA!D30&lt;&gt;"",ISNUMBER(DATA!B30)),DATA!B30,"")</f>
        <v/>
      </c>
      <c r="C69" s="237" t="str">
        <f t="shared" si="0"/>
        <v/>
      </c>
    </row>
    <row r="70" spans="1:3" x14ac:dyDescent="0.2">
      <c r="A70" s="246">
        <v>19</v>
      </c>
      <c r="B70" s="246" t="str">
        <f>IF(AND(DATA!D31&lt;&gt;"",ISNUMBER(DATA!B31)),DATA!B31,"")</f>
        <v/>
      </c>
      <c r="C70" s="237" t="str">
        <f t="shared" si="0"/>
        <v/>
      </c>
    </row>
    <row r="71" spans="1:3" x14ac:dyDescent="0.2">
      <c r="A71" s="246">
        <v>20</v>
      </c>
      <c r="B71" s="246" t="str">
        <f>IF(AND(DATA!D32&lt;&gt;"",ISNUMBER(DATA!B32)),DATA!B32,"")</f>
        <v/>
      </c>
      <c r="C71" s="237" t="str">
        <f t="shared" si="0"/>
        <v/>
      </c>
    </row>
    <row r="72" spans="1:3" x14ac:dyDescent="0.2">
      <c r="A72" s="246">
        <v>21</v>
      </c>
      <c r="B72" s="246" t="str">
        <f>IF(AND(DATA!D33&lt;&gt;"",ISNUMBER(DATA!B33)),DATA!B33,"")</f>
        <v/>
      </c>
      <c r="C72" s="237" t="str">
        <f t="shared" si="0"/>
        <v/>
      </c>
    </row>
    <row r="73" spans="1:3" x14ac:dyDescent="0.2">
      <c r="A73" s="246">
        <v>22</v>
      </c>
      <c r="B73" s="246" t="str">
        <f>IF(AND(DATA!D34&lt;&gt;"",ISNUMBER(DATA!B34)),DATA!B34,"")</f>
        <v/>
      </c>
      <c r="C73" s="237" t="str">
        <f t="shared" si="0"/>
        <v/>
      </c>
    </row>
    <row r="74" spans="1:3" x14ac:dyDescent="0.2">
      <c r="A74" s="246">
        <v>23</v>
      </c>
      <c r="B74" s="246" t="str">
        <f>IF(AND(DATA!D35&lt;&gt;"",ISNUMBER(DATA!B35)),DATA!B35,"")</f>
        <v/>
      </c>
      <c r="C74" s="237" t="str">
        <f t="shared" si="0"/>
        <v/>
      </c>
    </row>
    <row r="75" spans="1:3" x14ac:dyDescent="0.2">
      <c r="A75" s="246">
        <v>24</v>
      </c>
      <c r="B75" s="246" t="str">
        <f>IF(AND(DATA!D36&lt;&gt;"",ISNUMBER(DATA!B36)),DATA!B36,"")</f>
        <v/>
      </c>
      <c r="C75" s="237" t="str">
        <f t="shared" si="0"/>
        <v/>
      </c>
    </row>
    <row r="76" spans="1:3" x14ac:dyDescent="0.2">
      <c r="A76" s="246">
        <v>25</v>
      </c>
      <c r="B76" s="246" t="str">
        <f>IF(AND(DATA!D37&lt;&gt;"",ISNUMBER(DATA!B37)),DATA!B37,"")</f>
        <v/>
      </c>
      <c r="C76" s="237" t="str">
        <f t="shared" si="0"/>
        <v/>
      </c>
    </row>
    <row r="77" spans="1:3" x14ac:dyDescent="0.2">
      <c r="A77" s="246">
        <v>26</v>
      </c>
      <c r="B77" s="246" t="str">
        <f>IF(AND(DATA!D38&lt;&gt;"",ISNUMBER(DATA!B38)),DATA!B38,"")</f>
        <v/>
      </c>
      <c r="C77" s="237" t="str">
        <f t="shared" si="0"/>
        <v/>
      </c>
    </row>
    <row r="78" spans="1:3" x14ac:dyDescent="0.2">
      <c r="A78" s="246">
        <v>27</v>
      </c>
      <c r="B78" s="246" t="str">
        <f>IF(AND(DATA!D39&lt;&gt;"",ISNUMBER(DATA!B39)),DATA!B39,"")</f>
        <v/>
      </c>
      <c r="C78" s="237" t="str">
        <f t="shared" si="0"/>
        <v/>
      </c>
    </row>
    <row r="79" spans="1:3" x14ac:dyDescent="0.2">
      <c r="A79" s="246">
        <v>28</v>
      </c>
      <c r="B79" s="246" t="str">
        <f>IF(AND(DATA!D40&lt;&gt;"",ISNUMBER(DATA!B40)),DATA!B40,"")</f>
        <v/>
      </c>
      <c r="C79" s="237" t="str">
        <f t="shared" si="0"/>
        <v/>
      </c>
    </row>
    <row r="80" spans="1:3" x14ac:dyDescent="0.2">
      <c r="A80" s="246">
        <v>29</v>
      </c>
      <c r="B80" s="246" t="str">
        <f>IF(AND(DATA!D41&lt;&gt;"",ISNUMBER(DATA!B41)),DATA!B41,"")</f>
        <v/>
      </c>
      <c r="C80" s="237" t="str">
        <f t="shared" si="0"/>
        <v/>
      </c>
    </row>
    <row r="81" spans="1:3" x14ac:dyDescent="0.2">
      <c r="A81" s="246">
        <v>30</v>
      </c>
      <c r="B81" s="246" t="str">
        <f>IF(AND(DATA!D42&lt;&gt;"",ISNUMBER(DATA!B42)),DATA!B42,"")</f>
        <v/>
      </c>
      <c r="C81" s="237" t="str">
        <f t="shared" si="0"/>
        <v/>
      </c>
    </row>
    <row r="82" spans="1:3" x14ac:dyDescent="0.2">
      <c r="A82" s="246">
        <v>31</v>
      </c>
      <c r="B82" s="246" t="str">
        <f>IF(AND(DATA!D43&lt;&gt;"",ISNUMBER(DATA!B43)),DATA!B43,"")</f>
        <v/>
      </c>
      <c r="C82" s="237" t="str">
        <f t="shared" si="0"/>
        <v/>
      </c>
    </row>
    <row r="83" spans="1:3" x14ac:dyDescent="0.2">
      <c r="A83" s="246">
        <v>32</v>
      </c>
      <c r="B83" s="246" t="str">
        <f>IF(AND(DATA!D44&lt;&gt;"",ISNUMBER(DATA!B44)),DATA!B44,"")</f>
        <v/>
      </c>
      <c r="C83" s="237" t="str">
        <f t="shared" si="0"/>
        <v/>
      </c>
    </row>
    <row r="84" spans="1:3" x14ac:dyDescent="0.2">
      <c r="A84" s="246">
        <v>33</v>
      </c>
      <c r="B84" s="246" t="str">
        <f>IF(AND(DATA!D45&lt;&gt;"",ISNUMBER(DATA!B45)),DATA!B45,"")</f>
        <v/>
      </c>
      <c r="C84" s="237" t="str">
        <f t="shared" si="0"/>
        <v/>
      </c>
    </row>
    <row r="85" spans="1:3" x14ac:dyDescent="0.2">
      <c r="A85" s="246">
        <v>34</v>
      </c>
      <c r="B85" s="246" t="str">
        <f>IF(AND(DATA!D46&lt;&gt;"",ISNUMBER(DATA!B46)),DATA!B46,"")</f>
        <v/>
      </c>
      <c r="C85" s="237" t="str">
        <f t="shared" si="0"/>
        <v/>
      </c>
    </row>
    <row r="86" spans="1:3" x14ac:dyDescent="0.2">
      <c r="A86" s="246">
        <v>35</v>
      </c>
      <c r="B86" s="246" t="str">
        <f>IF(AND(DATA!D47&lt;&gt;"",ISNUMBER(DATA!B47)),DATA!B47,"")</f>
        <v/>
      </c>
      <c r="C86" s="237" t="str">
        <f t="shared" si="0"/>
        <v/>
      </c>
    </row>
    <row r="87" spans="1:3" x14ac:dyDescent="0.2">
      <c r="A87" s="246">
        <v>36</v>
      </c>
      <c r="B87" s="246" t="str">
        <f>IF(AND(DATA!D48&lt;&gt;"",ISNUMBER(DATA!B48)),DATA!B48,"")</f>
        <v/>
      </c>
      <c r="C87" s="237" t="str">
        <f t="shared" si="0"/>
        <v/>
      </c>
    </row>
    <row r="88" spans="1:3" x14ac:dyDescent="0.2">
      <c r="A88" s="246">
        <v>37</v>
      </c>
      <c r="B88" s="246" t="str">
        <f>IF(AND(DATA!D49&lt;&gt;"",ISNUMBER(DATA!B49)),DATA!B49,"")</f>
        <v/>
      </c>
      <c r="C88" s="237" t="str">
        <f t="shared" si="0"/>
        <v/>
      </c>
    </row>
    <row r="89" spans="1:3" x14ac:dyDescent="0.2">
      <c r="A89" s="246">
        <v>38</v>
      </c>
      <c r="B89" s="246" t="str">
        <f>IF(AND(DATA!D50&lt;&gt;"",ISNUMBER(DATA!B50)),DATA!B50,"")</f>
        <v/>
      </c>
      <c r="C89" s="237" t="str">
        <f t="shared" si="0"/>
        <v/>
      </c>
    </row>
    <row r="90" spans="1:3" x14ac:dyDescent="0.2">
      <c r="A90" s="246">
        <v>39</v>
      </c>
      <c r="B90" s="246" t="str">
        <f>IF(AND(DATA!D51&lt;&gt;"",ISNUMBER(DATA!B51)),DATA!B51,"")</f>
        <v/>
      </c>
      <c r="C90" s="237" t="str">
        <f t="shared" si="0"/>
        <v/>
      </c>
    </row>
    <row r="91" spans="1:3" x14ac:dyDescent="0.2">
      <c r="A91" s="246">
        <v>40</v>
      </c>
      <c r="B91" s="246" t="str">
        <f>IF(AND(DATA!D52&lt;&gt;"",ISNUMBER(DATA!B52)),DATA!B52,"")</f>
        <v/>
      </c>
      <c r="C91" s="237" t="str">
        <f t="shared" si="0"/>
        <v/>
      </c>
    </row>
    <row r="92" spans="1:3" x14ac:dyDescent="0.2">
      <c r="A92" s="246">
        <v>41</v>
      </c>
      <c r="B92" s="246" t="str">
        <f>IF(AND(DATA!D53&lt;&gt;"",ISNUMBER(DATA!B53)),DATA!B53,"")</f>
        <v/>
      </c>
      <c r="C92" s="237" t="str">
        <f t="shared" si="0"/>
        <v/>
      </c>
    </row>
    <row r="93" spans="1:3" x14ac:dyDescent="0.2">
      <c r="A93" s="246">
        <v>42</v>
      </c>
      <c r="B93" s="246" t="str">
        <f>IF(AND(DATA!D54&lt;&gt;"",ISNUMBER(DATA!B54)),DATA!B54,"")</f>
        <v/>
      </c>
      <c r="C93" s="237" t="str">
        <f t="shared" si="0"/>
        <v/>
      </c>
    </row>
    <row r="94" spans="1:3" x14ac:dyDescent="0.2">
      <c r="A94" s="246">
        <v>43</v>
      </c>
      <c r="B94" s="246" t="str">
        <f>IF(AND(DATA!D55&lt;&gt;"",ISNUMBER(DATA!B55)),DATA!B55,"")</f>
        <v/>
      </c>
      <c r="C94" s="237" t="str">
        <f t="shared" si="0"/>
        <v/>
      </c>
    </row>
    <row r="95" spans="1:3" x14ac:dyDescent="0.2">
      <c r="A95" s="246">
        <v>44</v>
      </c>
      <c r="B95" s="246" t="str">
        <f>IF(AND(DATA!D56&lt;&gt;"",ISNUMBER(DATA!B56)),DATA!B56,"")</f>
        <v/>
      </c>
      <c r="C95" s="237" t="str">
        <f t="shared" si="0"/>
        <v/>
      </c>
    </row>
    <row r="96" spans="1:3" x14ac:dyDescent="0.2">
      <c r="A96" s="246">
        <v>45</v>
      </c>
      <c r="B96" s="246" t="str">
        <f>IF(AND(DATA!D57&lt;&gt;"",ISNUMBER(DATA!B57)),DATA!B57,"")</f>
        <v/>
      </c>
      <c r="C96" s="237" t="str">
        <f t="shared" si="0"/>
        <v/>
      </c>
    </row>
    <row r="97" spans="1:3" x14ac:dyDescent="0.2">
      <c r="A97" s="246">
        <v>46</v>
      </c>
      <c r="B97" s="246" t="str">
        <f>IF(AND(DATA!D58&lt;&gt;"",ISNUMBER(DATA!B58)),DATA!B58,"")</f>
        <v/>
      </c>
      <c r="C97" s="237" t="str">
        <f t="shared" si="0"/>
        <v/>
      </c>
    </row>
    <row r="98" spans="1:3" x14ac:dyDescent="0.2">
      <c r="A98" s="246">
        <v>47</v>
      </c>
      <c r="B98" s="246" t="str">
        <f>IF(AND(DATA!D59&lt;&gt;"",ISNUMBER(DATA!B59)),DATA!B59,"")</f>
        <v/>
      </c>
      <c r="C98" s="237" t="str">
        <f t="shared" si="0"/>
        <v/>
      </c>
    </row>
    <row r="99" spans="1:3" x14ac:dyDescent="0.2">
      <c r="A99" s="246">
        <v>48</v>
      </c>
      <c r="B99" s="246" t="str">
        <f>IF(AND(DATA!D60&lt;&gt;"",ISNUMBER(DATA!B60)),DATA!B60,"")</f>
        <v/>
      </c>
      <c r="C99" s="237" t="str">
        <f t="shared" si="0"/>
        <v/>
      </c>
    </row>
    <row r="100" spans="1:3" x14ac:dyDescent="0.2">
      <c r="A100" s="246">
        <v>49</v>
      </c>
      <c r="B100" s="246" t="str">
        <f>IF(AND(DATA!D61&lt;&gt;"",ISNUMBER(DATA!B61)),DATA!B61,"")</f>
        <v/>
      </c>
      <c r="C100" s="237" t="str">
        <f t="shared" si="0"/>
        <v/>
      </c>
    </row>
    <row r="101" spans="1:3" x14ac:dyDescent="0.2">
      <c r="A101" s="246">
        <v>50</v>
      </c>
      <c r="B101" s="246" t="str">
        <f>IF(AND(DATA!D62&lt;&gt;"",ISNUMBER(DATA!B62)),DATA!B62,"")</f>
        <v/>
      </c>
      <c r="C101" s="237" t="str">
        <f t="shared" si="0"/>
        <v/>
      </c>
    </row>
    <row r="102" spans="1:3" x14ac:dyDescent="0.2">
      <c r="A102" s="246"/>
      <c r="B102" s="246" t="str">
        <f>IF(AND(DATA!D63&lt;&gt;"",ISNUMBER(DATA!B63)),DATA!B63,"")</f>
        <v/>
      </c>
      <c r="C102" s="237"/>
    </row>
    <row r="103" spans="1:3" x14ac:dyDescent="0.2">
      <c r="A103" s="246" t="str">
        <f>IF(AND(DATA!D64&lt;&gt;"",ISNUMBER(DATA!B64)),DATA!B64,"")</f>
        <v/>
      </c>
      <c r="B103" s="237"/>
    </row>
    <row r="104" spans="1:3" x14ac:dyDescent="0.2">
      <c r="B104" s="237"/>
    </row>
    <row r="105" spans="1:3" x14ac:dyDescent="0.2">
      <c r="B105" s="237"/>
    </row>
    <row r="106" spans="1:3" x14ac:dyDescent="0.2">
      <c r="B106" s="237"/>
    </row>
    <row r="107" spans="1:3" x14ac:dyDescent="0.2">
      <c r="B107" s="237"/>
    </row>
    <row r="108" spans="1:3" x14ac:dyDescent="0.2">
      <c r="B108" s="237"/>
    </row>
    <row r="109" spans="1:3" x14ac:dyDescent="0.2">
      <c r="B109" s="237"/>
    </row>
    <row r="110" spans="1:3" x14ac:dyDescent="0.2">
      <c r="B110" s="237"/>
    </row>
    <row r="111" spans="1:3" x14ac:dyDescent="0.2">
      <c r="B111" s="237"/>
    </row>
    <row r="112" spans="1:3" x14ac:dyDescent="0.2">
      <c r="B112" s="237"/>
    </row>
    <row r="113" spans="2:2" x14ac:dyDescent="0.2">
      <c r="B113" s="237"/>
    </row>
    <row r="114" spans="2:2" x14ac:dyDescent="0.2">
      <c r="B114" s="237"/>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A555B-5B0A-F047-880C-DD281ADFEB75}">
  <sheetPr codeName="Sheet9"/>
  <dimension ref="A1:J73"/>
  <sheetViews>
    <sheetView workbookViewId="0">
      <selection activeCell="I20" sqref="I20"/>
    </sheetView>
  </sheetViews>
  <sheetFormatPr baseColWidth="10" defaultRowHeight="14" x14ac:dyDescent="0.2"/>
  <cols>
    <col min="1" max="1" width="22.85546875" customWidth="1"/>
    <col min="2" max="2" width="13.7109375" customWidth="1"/>
    <col min="5" max="5" width="10.7109375" style="246"/>
    <col min="6" max="6" width="20.7109375" customWidth="1"/>
  </cols>
  <sheetData>
    <row r="1" spans="1:10" s="240" customFormat="1" ht="26" x14ac:dyDescent="0.3">
      <c r="A1" s="240" t="s">
        <v>493</v>
      </c>
      <c r="B1" s="242" t="s">
        <v>484</v>
      </c>
    </row>
    <row r="2" spans="1:10" s="240" customFormat="1" ht="24" customHeight="1" x14ac:dyDescent="0.3">
      <c r="B2" s="243" t="s">
        <v>485</v>
      </c>
    </row>
    <row r="3" spans="1:10" s="240" customFormat="1" ht="25" customHeight="1" x14ac:dyDescent="0.3">
      <c r="A3" s="259" t="s">
        <v>482</v>
      </c>
      <c r="F3" s="259" t="s">
        <v>499</v>
      </c>
    </row>
    <row r="4" spans="1:10" s="240" customFormat="1" ht="21" customHeight="1" x14ac:dyDescent="0.3">
      <c r="A4" s="236" t="s">
        <v>494</v>
      </c>
      <c r="B4" s="273"/>
      <c r="C4" s="274"/>
      <c r="D4" s="274"/>
      <c r="E4" s="274"/>
      <c r="F4" s="268" t="s">
        <v>494</v>
      </c>
      <c r="G4" s="262"/>
      <c r="H4" s="262"/>
      <c r="I4" s="262"/>
    </row>
    <row r="5" spans="1:10" ht="17" customHeight="1" x14ac:dyDescent="0.2">
      <c r="A5" s="1" t="s">
        <v>495</v>
      </c>
      <c r="B5" s="270">
        <f>AVERAGE(D20:D69)</f>
        <v>-4.5432771655548541</v>
      </c>
      <c r="C5" s="261"/>
      <c r="D5" s="264"/>
      <c r="E5" s="264"/>
      <c r="F5" s="265" t="s">
        <v>483</v>
      </c>
      <c r="G5" s="270">
        <v>13.045999999999998</v>
      </c>
      <c r="H5" s="266"/>
      <c r="I5" s="261"/>
    </row>
    <row r="6" spans="1:10" x14ac:dyDescent="0.2">
      <c r="A6" s="1" t="s">
        <v>496</v>
      </c>
      <c r="B6" s="271">
        <f>STDEV(D20:D69)</f>
        <v>1.0590389472267157</v>
      </c>
      <c r="C6" s="261"/>
      <c r="D6" s="261"/>
      <c r="E6" s="261"/>
      <c r="F6" s="265" t="s">
        <v>498</v>
      </c>
      <c r="G6" s="271">
        <v>6.4865807633914576</v>
      </c>
      <c r="H6" s="261"/>
      <c r="I6" s="261"/>
    </row>
    <row r="7" spans="1:10" ht="15" x14ac:dyDescent="0.2">
      <c r="A7" s="258" t="s">
        <v>478</v>
      </c>
      <c r="B7" s="238">
        <f>EXP(B5)</f>
        <v>1.0638485285854522E-2</v>
      </c>
      <c r="C7" s="261"/>
      <c r="D7" s="261"/>
      <c r="E7" s="261"/>
      <c r="F7" s="263"/>
      <c r="G7" s="261"/>
      <c r="H7" s="261"/>
      <c r="I7" s="261"/>
    </row>
    <row r="8" spans="1:10" ht="15" x14ac:dyDescent="0.2">
      <c r="A8" s="258" t="s">
        <v>479</v>
      </c>
      <c r="B8" s="238">
        <f>EXP(B6)</f>
        <v>2.8835983669555807</v>
      </c>
      <c r="C8" s="238"/>
      <c r="D8" s="238"/>
      <c r="E8" s="238"/>
      <c r="F8" s="263"/>
      <c r="G8" s="267"/>
      <c r="H8" s="261"/>
      <c r="I8" s="261"/>
    </row>
    <row r="9" spans="1:10" ht="32" customHeight="1" x14ac:dyDescent="0.2">
      <c r="B9" s="238"/>
      <c r="C9" s="470" t="s">
        <v>480</v>
      </c>
      <c r="D9" s="470"/>
      <c r="E9" s="470"/>
      <c r="F9" s="261"/>
      <c r="H9" s="470" t="s">
        <v>480</v>
      </c>
      <c r="I9" s="470"/>
      <c r="J9" s="470"/>
    </row>
    <row r="10" spans="1:10" ht="15" x14ac:dyDescent="0.2">
      <c r="A10" s="236" t="s">
        <v>497</v>
      </c>
      <c r="B10" s="238"/>
      <c r="C10" s="261"/>
      <c r="D10" s="238"/>
      <c r="E10" s="261"/>
      <c r="F10" s="268" t="s">
        <v>497</v>
      </c>
      <c r="G10" s="267"/>
      <c r="H10" s="261"/>
      <c r="I10" s="261"/>
    </row>
    <row r="11" spans="1:10" s="246" customFormat="1" ht="15" x14ac:dyDescent="0.2">
      <c r="A11" s="1" t="s">
        <v>495</v>
      </c>
      <c r="B11" s="278">
        <v>1.3345555023374309</v>
      </c>
      <c r="C11" s="261"/>
      <c r="D11" s="269">
        <f>SUM(F20:F69)</f>
        <v>-130.47881513379667</v>
      </c>
      <c r="E11" s="261"/>
      <c r="F11" s="263" t="s">
        <v>491</v>
      </c>
      <c r="G11" s="311">
        <v>3.8250804960877818</v>
      </c>
      <c r="I11" s="269">
        <f>SUM(G20:G69)</f>
        <v>-27.728754230179693</v>
      </c>
    </row>
    <row r="12" spans="1:10" s="246" customFormat="1" ht="15" x14ac:dyDescent="0.2">
      <c r="A12" s="1" t="s">
        <v>496</v>
      </c>
      <c r="B12" s="279">
        <v>1.2939880041942615</v>
      </c>
      <c r="C12" s="238"/>
      <c r="D12" s="261"/>
      <c r="E12" s="261"/>
      <c r="F12" s="263" t="s">
        <v>492</v>
      </c>
      <c r="G12" s="312">
        <v>11.125745421057815</v>
      </c>
      <c r="H12" s="261"/>
      <c r="I12" s="261"/>
    </row>
    <row r="13" spans="1:10" s="246" customFormat="1" ht="15" x14ac:dyDescent="0.2">
      <c r="A13" s="258" t="s">
        <v>478</v>
      </c>
      <c r="B13" s="272">
        <f>EXP(B11)</f>
        <v>3.7983072324458256</v>
      </c>
      <c r="C13" s="238"/>
      <c r="D13" s="261"/>
      <c r="E13" s="261"/>
      <c r="F13" s="263"/>
      <c r="G13" s="267"/>
      <c r="H13" s="261"/>
      <c r="I13" s="261"/>
    </row>
    <row r="14" spans="1:10" s="246" customFormat="1" ht="15" x14ac:dyDescent="0.2">
      <c r="A14" s="258" t="s">
        <v>479</v>
      </c>
      <c r="B14" s="272">
        <f>EXP(B12)</f>
        <v>3.6473030504554842</v>
      </c>
      <c r="C14" s="238"/>
      <c r="D14" s="261"/>
      <c r="E14" s="261"/>
      <c r="F14" s="263"/>
      <c r="G14" s="267"/>
      <c r="H14" s="261"/>
      <c r="I14" s="261"/>
    </row>
    <row r="15" spans="1:10" ht="15" x14ac:dyDescent="0.2">
      <c r="A15" s="258" t="s">
        <v>491</v>
      </c>
      <c r="B15" s="238">
        <f>EXP(B11+0.5*B12^2)</f>
        <v>8.7736944691314065</v>
      </c>
      <c r="C15" s="238"/>
      <c r="D15" s="261"/>
      <c r="E15" s="261"/>
      <c r="F15" s="263"/>
      <c r="G15" s="267"/>
      <c r="H15" s="261"/>
      <c r="I15" s="261"/>
    </row>
    <row r="16" spans="1:10" ht="15" x14ac:dyDescent="0.2">
      <c r="A16" s="258" t="s">
        <v>492</v>
      </c>
      <c r="B16" s="238">
        <f>(EXP(2*B11+B12^2)*((EXP(B12^2)-1)))^0.5</f>
        <v>18.2687181541882</v>
      </c>
      <c r="C16" s="238"/>
      <c r="D16" s="261"/>
      <c r="E16" s="261"/>
      <c r="F16" s="263"/>
      <c r="G16" s="267"/>
      <c r="H16" s="261"/>
      <c r="I16" s="261"/>
    </row>
    <row r="17" spans="1:9" s="220" customFormat="1" ht="15" x14ac:dyDescent="0.2">
      <c r="A17" s="236"/>
      <c r="B17" s="237"/>
      <c r="C17" s="237"/>
      <c r="E17" s="246"/>
      <c r="G17" s="94"/>
    </row>
    <row r="18" spans="1:9" ht="48" customHeight="1" x14ac:dyDescent="0.2">
      <c r="A18" s="236"/>
      <c r="B18" s="220"/>
      <c r="C18" s="220"/>
      <c r="D18" s="220"/>
      <c r="F18" s="471" t="s">
        <v>481</v>
      </c>
      <c r="G18" s="471"/>
      <c r="H18" s="471"/>
      <c r="I18" s="244"/>
    </row>
    <row r="19" spans="1:9" s="239" customFormat="1" ht="15" x14ac:dyDescent="0.2">
      <c r="A19" s="239" t="s">
        <v>500</v>
      </c>
      <c r="B19" s="239" t="s">
        <v>502</v>
      </c>
      <c r="C19" s="239" t="s">
        <v>301</v>
      </c>
      <c r="D19" s="239" t="s">
        <v>501</v>
      </c>
      <c r="F19" s="239" t="s">
        <v>242</v>
      </c>
      <c r="G19" s="275" t="s">
        <v>244</v>
      </c>
      <c r="H19" s="275"/>
    </row>
    <row r="20" spans="1:9" s="1" customFormat="1" ht="15" x14ac:dyDescent="0.2">
      <c r="A20" s="258">
        <f>STAT!B12</f>
        <v>3.0000000000000001E-3</v>
      </c>
      <c r="B20" s="258" t="str">
        <f>STAT!C12</f>
        <v/>
      </c>
      <c r="C20" s="258">
        <f>IF(AND(ISNUMBER(A20),B20=""),A20,"")</f>
        <v>3.0000000000000001E-3</v>
      </c>
      <c r="D20" s="276">
        <f>IF(AND(ISNUMBER(A20),B20=""),LN(A20),"")</f>
        <v>-5.8091429903140277</v>
      </c>
      <c r="E20" s="276"/>
      <c r="F20" s="277">
        <f>IF(ISNUMBER(A20),IF(ISNUMBER(D20),LN((1/((2*PI())^0.5*B$12))*EXP(-(1/2)*((LN(A20)-B$11)/B$12)^2)),LN(NORMDIST(LN(A20),$B$11,$B$12,TRUE))),"")</f>
        <v>-16.415641758874557</v>
      </c>
      <c r="G20" s="1">
        <f>IF(ISNUMBER(A20),IF(ISNUMBER(C20),LN((1/((2*PI())^0.5*G$12))*EXP(-(1/2)*(((C20)-G$11)/G$12)^2)),LN(NORMDIST((A20),$G$11,$G$12,TRUE))),"")</f>
        <v>-3.3872084353947018</v>
      </c>
    </row>
    <row r="21" spans="1:9" s="1" customFormat="1" ht="15" x14ac:dyDescent="0.2">
      <c r="A21" s="258">
        <f>STAT!B13</f>
        <v>1.6500000000000001E-2</v>
      </c>
      <c r="B21" s="258" t="str">
        <f>STAT!C13</f>
        <v/>
      </c>
      <c r="C21" s="258">
        <f t="shared" ref="C21:C69" si="0">IF(AND(ISNUMBER(A21),B21=""),A21,"")</f>
        <v>1.6500000000000001E-2</v>
      </c>
      <c r="D21" s="276">
        <f t="shared" ref="D21:D69" si="1">IF(AND(ISNUMBER(A21),B21=""),LN(A21),"")</f>
        <v>-4.1043948980756024</v>
      </c>
      <c r="E21" s="276"/>
      <c r="F21" s="277">
        <f t="shared" ref="F21:F69" si="2">IF(ISNUMBER(A21),IF(ISNUMBER(D21),LN((1/((2*PI())^0.5*B$12))*EXP(-(1/2)*((LN(A21)-B$11)/B$12)^2)),LN(NORMDIST(LN(A21),$B$11,$B$12,TRUE))),"")</f>
        <v>-10.010307543957909</v>
      </c>
      <c r="G21" s="1">
        <f t="shared" ref="G21:G69" si="3">IF(ISNUMBER(A21),IF(ISNUMBER(C21),LN((1/((2*PI())^0.5*G$12))*EXP(-(1/2)*(((C21)-G$11)/G$12)^2)),LN(NORMDIST((A21),$G$11,$G$12,TRUE))),"")</f>
        <v>-3.386792325832523</v>
      </c>
    </row>
    <row r="22" spans="1:9" s="1" customFormat="1" ht="15" x14ac:dyDescent="0.2">
      <c r="A22" s="258">
        <f>STAT!B14</f>
        <v>1.2999999999999999E-2</v>
      </c>
      <c r="B22" s="258" t="str">
        <f>STAT!C14</f>
        <v>&lt;</v>
      </c>
      <c r="C22" s="258" t="str">
        <f t="shared" si="0"/>
        <v/>
      </c>
      <c r="D22" s="276" t="str">
        <f t="shared" si="1"/>
        <v/>
      </c>
      <c r="E22" s="276"/>
      <c r="F22" s="277">
        <f t="shared" si="2"/>
        <v>-12.069224062042395</v>
      </c>
      <c r="G22" s="1">
        <f t="shared" si="3"/>
        <v>-1.0052963549565432</v>
      </c>
    </row>
    <row r="23" spans="1:9" s="1" customFormat="1" ht="15" x14ac:dyDescent="0.2">
      <c r="A23" s="258">
        <f>STAT!B15</f>
        <v>3.2000000000000002E-3</v>
      </c>
      <c r="B23" s="258" t="str">
        <f>STAT!C15</f>
        <v/>
      </c>
      <c r="C23" s="258">
        <f t="shared" si="0"/>
        <v>3.2000000000000002E-3</v>
      </c>
      <c r="D23" s="276">
        <f t="shared" si="1"/>
        <v>-5.7446044691764557</v>
      </c>
      <c r="E23" s="276"/>
      <c r="F23" s="277">
        <f t="shared" si="2"/>
        <v>-16.141537740940922</v>
      </c>
      <c r="G23" s="1">
        <f t="shared" si="3"/>
        <v>-3.3872022600639173</v>
      </c>
    </row>
    <row r="24" spans="1:9" s="1" customFormat="1" ht="15" x14ac:dyDescent="0.2">
      <c r="A24" s="258">
        <f>STAT!B16</f>
        <v>4.7999999999999996E-3</v>
      </c>
      <c r="B24" s="258" t="str">
        <f>STAT!C16</f>
        <v/>
      </c>
      <c r="C24" s="258">
        <f t="shared" si="0"/>
        <v>4.7999999999999996E-3</v>
      </c>
      <c r="D24" s="276">
        <f t="shared" si="1"/>
        <v>-5.339139361068292</v>
      </c>
      <c r="E24" s="276"/>
      <c r="F24" s="277">
        <f t="shared" si="2"/>
        <v>-14.476378199997896</v>
      </c>
      <c r="G24" s="1">
        <f t="shared" si="3"/>
        <v>-3.3871528690509782</v>
      </c>
    </row>
    <row r="25" spans="1:9" s="1" customFormat="1" ht="15" x14ac:dyDescent="0.2">
      <c r="A25" s="258">
        <f>STAT!B17</f>
        <v>3.1399999999999997E-2</v>
      </c>
      <c r="B25" s="258" t="str">
        <f>STAT!C17</f>
        <v/>
      </c>
      <c r="C25" s="258">
        <f t="shared" si="0"/>
        <v>3.1399999999999997E-2</v>
      </c>
      <c r="D25" s="276">
        <f t="shared" si="1"/>
        <v>-3.4609473860679296</v>
      </c>
      <c r="E25" s="276"/>
      <c r="F25" s="277">
        <f t="shared" si="2"/>
        <v>-8.0438377584411</v>
      </c>
      <c r="G25" s="1">
        <f t="shared" si="3"/>
        <v>-3.3863347734600584</v>
      </c>
    </row>
    <row r="26" spans="1:9" s="1" customFormat="1" ht="21" customHeight="1" x14ac:dyDescent="0.2">
      <c r="A26" s="258">
        <f>STAT!B18</f>
        <v>1.2999999999999999E-2</v>
      </c>
      <c r="B26" s="258" t="str">
        <f>STAT!C18</f>
        <v>&lt;</v>
      </c>
      <c r="C26" s="258" t="str">
        <f t="shared" si="0"/>
        <v/>
      </c>
      <c r="D26" s="276" t="str">
        <f t="shared" si="1"/>
        <v/>
      </c>
      <c r="E26" s="276"/>
      <c r="F26" s="277">
        <f t="shared" si="2"/>
        <v>-12.069224062042395</v>
      </c>
      <c r="G26" s="1">
        <f t="shared" si="3"/>
        <v>-1.0052963549565432</v>
      </c>
    </row>
    <row r="27" spans="1:9" s="1" customFormat="1" ht="15" x14ac:dyDescent="0.2">
      <c r="A27" s="258">
        <f>STAT!B19</f>
        <v>1.2999999999999999E-2</v>
      </c>
      <c r="B27" s="258" t="str">
        <f>STAT!C19</f>
        <v>&lt;</v>
      </c>
      <c r="C27" s="258" t="str">
        <f t="shared" si="0"/>
        <v/>
      </c>
      <c r="D27" s="276" t="str">
        <f t="shared" si="1"/>
        <v/>
      </c>
      <c r="E27" s="276"/>
      <c r="F27" s="277">
        <f t="shared" si="2"/>
        <v>-12.069224062042395</v>
      </c>
      <c r="G27" s="1">
        <f t="shared" si="3"/>
        <v>-1.0052963549565432</v>
      </c>
    </row>
    <row r="28" spans="1:9" s="1" customFormat="1" ht="15" x14ac:dyDescent="0.2">
      <c r="A28" s="258">
        <f>STAT!B20</f>
        <v>3.4000000000000002E-2</v>
      </c>
      <c r="B28" s="258" t="str">
        <f>STAT!C20</f>
        <v/>
      </c>
      <c r="C28" s="258">
        <f t="shared" si="0"/>
        <v>3.4000000000000002E-2</v>
      </c>
      <c r="D28" s="276">
        <f t="shared" si="1"/>
        <v>-3.3813947543659757</v>
      </c>
      <c r="E28" s="276"/>
      <c r="F28" s="277">
        <f t="shared" si="2"/>
        <v>-7.8178884960645334</v>
      </c>
      <c r="G28" s="1">
        <f t="shared" si="3"/>
        <v>-3.386255115897018</v>
      </c>
    </row>
    <row r="29" spans="1:9" s="1" customFormat="1" ht="15" x14ac:dyDescent="0.2">
      <c r="A29" s="258">
        <f>STAT!B21</f>
        <v>1.4E-2</v>
      </c>
      <c r="B29" s="258" t="str">
        <f>STAT!C21</f>
        <v>&lt;</v>
      </c>
      <c r="C29" s="258" t="str">
        <f t="shared" si="0"/>
        <v/>
      </c>
      <c r="D29" s="276" t="str">
        <f t="shared" si="1"/>
        <v/>
      </c>
      <c r="E29" s="276"/>
      <c r="F29" s="277">
        <f t="shared" si="2"/>
        <v>-11.807564540768988</v>
      </c>
      <c r="G29" s="1">
        <f t="shared" si="3"/>
        <v>-1.0052039555305725</v>
      </c>
    </row>
    <row r="30" spans="1:9" s="1" customFormat="1" ht="15" x14ac:dyDescent="0.2">
      <c r="A30" s="258">
        <f>STAT!B22</f>
        <v>1.9E-2</v>
      </c>
      <c r="B30" s="258" t="str">
        <f>STAT!C22</f>
        <v/>
      </c>
      <c r="C30" s="258">
        <f t="shared" si="0"/>
        <v>1.9E-2</v>
      </c>
      <c r="D30" s="276">
        <f t="shared" si="1"/>
        <v>-3.9633162998156966</v>
      </c>
      <c r="E30" s="276"/>
      <c r="F30" s="277">
        <f t="shared" si="2"/>
        <v>-9.5579869086235814</v>
      </c>
      <c r="G30" s="1">
        <f t="shared" si="3"/>
        <v>-3.3867154300802986</v>
      </c>
    </row>
    <row r="31" spans="1:9" s="1" customFormat="1" ht="15" x14ac:dyDescent="0.2">
      <c r="A31" s="258" t="str">
        <f>STAT!B23</f>
        <v/>
      </c>
      <c r="B31" s="258" t="str">
        <f>STAT!C23</f>
        <v/>
      </c>
      <c r="C31" s="258" t="str">
        <f t="shared" si="0"/>
        <v/>
      </c>
      <c r="D31" s="276" t="str">
        <f t="shared" si="1"/>
        <v/>
      </c>
      <c r="E31" s="276"/>
      <c r="F31" s="277" t="str">
        <f t="shared" si="2"/>
        <v/>
      </c>
      <c r="G31" s="1" t="str">
        <f t="shared" si="3"/>
        <v/>
      </c>
    </row>
    <row r="32" spans="1:9" s="1" customFormat="1" ht="15" x14ac:dyDescent="0.2">
      <c r="A32" s="258" t="str">
        <f>STAT!B24</f>
        <v/>
      </c>
      <c r="B32" s="258" t="str">
        <f>STAT!C24</f>
        <v/>
      </c>
      <c r="C32" s="258" t="str">
        <f t="shared" si="0"/>
        <v/>
      </c>
      <c r="D32" s="276" t="str">
        <f t="shared" si="1"/>
        <v/>
      </c>
      <c r="E32" s="276"/>
      <c r="F32" s="277" t="str">
        <f t="shared" si="2"/>
        <v/>
      </c>
      <c r="G32" s="1" t="str">
        <f t="shared" si="3"/>
        <v/>
      </c>
    </row>
    <row r="33" spans="1:7" s="1" customFormat="1" ht="15" x14ac:dyDescent="0.2">
      <c r="A33" s="258" t="str">
        <f>STAT!B25</f>
        <v/>
      </c>
      <c r="B33" s="258" t="str">
        <f>STAT!C25</f>
        <v/>
      </c>
      <c r="C33" s="258" t="str">
        <f t="shared" si="0"/>
        <v/>
      </c>
      <c r="D33" s="276" t="str">
        <f t="shared" si="1"/>
        <v/>
      </c>
      <c r="E33" s="276"/>
      <c r="F33" s="277" t="str">
        <f t="shared" si="2"/>
        <v/>
      </c>
      <c r="G33" s="1" t="str">
        <f t="shared" si="3"/>
        <v/>
      </c>
    </row>
    <row r="34" spans="1:7" s="1" customFormat="1" ht="15" x14ac:dyDescent="0.2">
      <c r="A34" s="258" t="str">
        <f>STAT!B26</f>
        <v/>
      </c>
      <c r="B34" s="258" t="str">
        <f>STAT!C26</f>
        <v/>
      </c>
      <c r="C34" s="258" t="str">
        <f t="shared" si="0"/>
        <v/>
      </c>
      <c r="D34" s="276" t="str">
        <f t="shared" si="1"/>
        <v/>
      </c>
      <c r="E34" s="276"/>
      <c r="F34" s="277" t="str">
        <f t="shared" si="2"/>
        <v/>
      </c>
      <c r="G34" s="1" t="str">
        <f t="shared" si="3"/>
        <v/>
      </c>
    </row>
    <row r="35" spans="1:7" s="1" customFormat="1" ht="15" x14ac:dyDescent="0.2">
      <c r="A35" s="258" t="str">
        <f>STAT!B27</f>
        <v/>
      </c>
      <c r="B35" s="258" t="str">
        <f>STAT!C27</f>
        <v/>
      </c>
      <c r="C35" s="258" t="str">
        <f t="shared" si="0"/>
        <v/>
      </c>
      <c r="D35" s="276" t="str">
        <f t="shared" si="1"/>
        <v/>
      </c>
      <c r="E35" s="276"/>
      <c r="F35" s="277" t="str">
        <f t="shared" si="2"/>
        <v/>
      </c>
      <c r="G35" s="1" t="str">
        <f t="shared" si="3"/>
        <v/>
      </c>
    </row>
    <row r="36" spans="1:7" s="1" customFormat="1" ht="15" x14ac:dyDescent="0.2">
      <c r="A36" s="258" t="str">
        <f>STAT!B28</f>
        <v/>
      </c>
      <c r="B36" s="258" t="str">
        <f>STAT!C28</f>
        <v/>
      </c>
      <c r="C36" s="258" t="str">
        <f t="shared" si="0"/>
        <v/>
      </c>
      <c r="D36" s="276" t="str">
        <f t="shared" si="1"/>
        <v/>
      </c>
      <c r="E36" s="276"/>
      <c r="F36" s="277" t="str">
        <f t="shared" si="2"/>
        <v/>
      </c>
      <c r="G36" s="1" t="str">
        <f t="shared" si="3"/>
        <v/>
      </c>
    </row>
    <row r="37" spans="1:7" s="1" customFormat="1" ht="15" x14ac:dyDescent="0.2">
      <c r="A37" s="258" t="str">
        <f>STAT!B29</f>
        <v/>
      </c>
      <c r="B37" s="258" t="str">
        <f>STAT!C29</f>
        <v/>
      </c>
      <c r="C37" s="258" t="str">
        <f t="shared" si="0"/>
        <v/>
      </c>
      <c r="D37" s="276" t="str">
        <f t="shared" si="1"/>
        <v/>
      </c>
      <c r="E37" s="276"/>
      <c r="F37" s="277" t="str">
        <f t="shared" si="2"/>
        <v/>
      </c>
      <c r="G37" s="1" t="str">
        <f t="shared" si="3"/>
        <v/>
      </c>
    </row>
    <row r="38" spans="1:7" s="1" customFormat="1" ht="15" x14ac:dyDescent="0.2">
      <c r="A38" s="258" t="str">
        <f>STAT!B30</f>
        <v/>
      </c>
      <c r="B38" s="258" t="str">
        <f>STAT!C30</f>
        <v/>
      </c>
      <c r="C38" s="258" t="str">
        <f t="shared" si="0"/>
        <v/>
      </c>
      <c r="D38" s="276" t="str">
        <f t="shared" si="1"/>
        <v/>
      </c>
      <c r="E38" s="276"/>
      <c r="F38" s="277" t="str">
        <f t="shared" si="2"/>
        <v/>
      </c>
      <c r="G38" s="1" t="str">
        <f t="shared" si="3"/>
        <v/>
      </c>
    </row>
    <row r="39" spans="1:7" s="1" customFormat="1" ht="15" x14ac:dyDescent="0.2">
      <c r="A39" s="258" t="str">
        <f>STAT!B31</f>
        <v/>
      </c>
      <c r="B39" s="258" t="str">
        <f>STAT!C31</f>
        <v/>
      </c>
      <c r="C39" s="258" t="str">
        <f t="shared" si="0"/>
        <v/>
      </c>
      <c r="D39" s="276" t="str">
        <f t="shared" si="1"/>
        <v/>
      </c>
      <c r="E39" s="276"/>
      <c r="F39" s="277" t="str">
        <f t="shared" si="2"/>
        <v/>
      </c>
      <c r="G39" s="1" t="str">
        <f t="shared" si="3"/>
        <v/>
      </c>
    </row>
    <row r="40" spans="1:7" s="1" customFormat="1" ht="15" x14ac:dyDescent="0.2">
      <c r="A40" s="258" t="str">
        <f>STAT!B32</f>
        <v/>
      </c>
      <c r="B40" s="258" t="str">
        <f>STAT!C32</f>
        <v/>
      </c>
      <c r="C40" s="258" t="str">
        <f t="shared" si="0"/>
        <v/>
      </c>
      <c r="D40" s="276" t="str">
        <f t="shared" si="1"/>
        <v/>
      </c>
      <c r="E40" s="276"/>
      <c r="F40" s="277" t="str">
        <f t="shared" si="2"/>
        <v/>
      </c>
      <c r="G40" s="1" t="str">
        <f t="shared" si="3"/>
        <v/>
      </c>
    </row>
    <row r="41" spans="1:7" s="1" customFormat="1" ht="15" x14ac:dyDescent="0.2">
      <c r="A41" s="258" t="str">
        <f>STAT!B33</f>
        <v/>
      </c>
      <c r="B41" s="258" t="str">
        <f>STAT!C33</f>
        <v/>
      </c>
      <c r="C41" s="258" t="str">
        <f t="shared" si="0"/>
        <v/>
      </c>
      <c r="D41" s="276" t="str">
        <f t="shared" si="1"/>
        <v/>
      </c>
      <c r="E41" s="276"/>
      <c r="F41" s="277" t="str">
        <f t="shared" si="2"/>
        <v/>
      </c>
      <c r="G41" s="1" t="str">
        <f t="shared" si="3"/>
        <v/>
      </c>
    </row>
    <row r="42" spans="1:7" s="1" customFormat="1" ht="15" x14ac:dyDescent="0.2">
      <c r="A42" s="258" t="str">
        <f>STAT!B34</f>
        <v/>
      </c>
      <c r="B42" s="258" t="str">
        <f>STAT!C34</f>
        <v/>
      </c>
      <c r="C42" s="258" t="str">
        <f t="shared" si="0"/>
        <v/>
      </c>
      <c r="D42" s="276" t="str">
        <f t="shared" si="1"/>
        <v/>
      </c>
      <c r="E42" s="276"/>
      <c r="F42" s="277" t="str">
        <f t="shared" si="2"/>
        <v/>
      </c>
      <c r="G42" s="1" t="str">
        <f t="shared" si="3"/>
        <v/>
      </c>
    </row>
    <row r="43" spans="1:7" s="1" customFormat="1" ht="15" x14ac:dyDescent="0.2">
      <c r="A43" s="258" t="str">
        <f>STAT!B35</f>
        <v/>
      </c>
      <c r="B43" s="258" t="str">
        <f>STAT!C35</f>
        <v/>
      </c>
      <c r="C43" s="258" t="str">
        <f t="shared" si="0"/>
        <v/>
      </c>
      <c r="D43" s="276" t="str">
        <f t="shared" si="1"/>
        <v/>
      </c>
      <c r="E43" s="276"/>
      <c r="F43" s="277" t="str">
        <f t="shared" si="2"/>
        <v/>
      </c>
      <c r="G43" s="1" t="str">
        <f t="shared" si="3"/>
        <v/>
      </c>
    </row>
    <row r="44" spans="1:7" s="1" customFormat="1" ht="15" x14ac:dyDescent="0.2">
      <c r="A44" s="258" t="str">
        <f>STAT!B36</f>
        <v/>
      </c>
      <c r="B44" s="258" t="str">
        <f>STAT!C36</f>
        <v/>
      </c>
      <c r="C44" s="258" t="str">
        <f t="shared" si="0"/>
        <v/>
      </c>
      <c r="D44" s="276" t="str">
        <f t="shared" si="1"/>
        <v/>
      </c>
      <c r="E44" s="276"/>
      <c r="F44" s="277" t="str">
        <f t="shared" si="2"/>
        <v/>
      </c>
      <c r="G44" s="1" t="str">
        <f t="shared" si="3"/>
        <v/>
      </c>
    </row>
    <row r="45" spans="1:7" s="1" customFormat="1" ht="15" x14ac:dyDescent="0.2">
      <c r="A45" s="258" t="str">
        <f>STAT!B37</f>
        <v/>
      </c>
      <c r="B45" s="258" t="str">
        <f>STAT!C37</f>
        <v/>
      </c>
      <c r="C45" s="258" t="str">
        <f t="shared" si="0"/>
        <v/>
      </c>
      <c r="D45" s="276" t="str">
        <f t="shared" si="1"/>
        <v/>
      </c>
      <c r="E45" s="276"/>
      <c r="F45" s="277" t="str">
        <f t="shared" si="2"/>
        <v/>
      </c>
      <c r="G45" s="1" t="str">
        <f t="shared" si="3"/>
        <v/>
      </c>
    </row>
    <row r="46" spans="1:7" s="1" customFormat="1" ht="15" x14ac:dyDescent="0.2">
      <c r="A46" s="258" t="str">
        <f>STAT!B38</f>
        <v/>
      </c>
      <c r="B46" s="258" t="str">
        <f>STAT!C38</f>
        <v/>
      </c>
      <c r="C46" s="258" t="str">
        <f t="shared" si="0"/>
        <v/>
      </c>
      <c r="D46" s="276" t="str">
        <f t="shared" si="1"/>
        <v/>
      </c>
      <c r="E46" s="276"/>
      <c r="F46" s="277" t="str">
        <f t="shared" si="2"/>
        <v/>
      </c>
      <c r="G46" s="1" t="str">
        <f t="shared" si="3"/>
        <v/>
      </c>
    </row>
    <row r="47" spans="1:7" s="1" customFormat="1" ht="15" x14ac:dyDescent="0.2">
      <c r="A47" s="258" t="str">
        <f>STAT!B39</f>
        <v/>
      </c>
      <c r="B47" s="258" t="str">
        <f>STAT!C39</f>
        <v/>
      </c>
      <c r="C47" s="258" t="str">
        <f t="shared" si="0"/>
        <v/>
      </c>
      <c r="D47" s="276" t="str">
        <f t="shared" si="1"/>
        <v/>
      </c>
      <c r="E47" s="276"/>
      <c r="F47" s="277" t="str">
        <f t="shared" si="2"/>
        <v/>
      </c>
      <c r="G47" s="1" t="str">
        <f t="shared" si="3"/>
        <v/>
      </c>
    </row>
    <row r="48" spans="1:7" s="1" customFormat="1" ht="15" x14ac:dyDescent="0.2">
      <c r="A48" s="258" t="str">
        <f>STAT!B40</f>
        <v/>
      </c>
      <c r="B48" s="258" t="str">
        <f>STAT!C40</f>
        <v/>
      </c>
      <c r="C48" s="258" t="str">
        <f t="shared" si="0"/>
        <v/>
      </c>
      <c r="D48" s="276" t="str">
        <f t="shared" si="1"/>
        <v/>
      </c>
      <c r="E48" s="276"/>
      <c r="F48" s="277" t="str">
        <f t="shared" si="2"/>
        <v/>
      </c>
      <c r="G48" s="1" t="str">
        <f t="shared" si="3"/>
        <v/>
      </c>
    </row>
    <row r="49" spans="1:7" s="1" customFormat="1" ht="15" x14ac:dyDescent="0.2">
      <c r="A49" s="258" t="str">
        <f>STAT!B41</f>
        <v/>
      </c>
      <c r="B49" s="258" t="str">
        <f>STAT!C41</f>
        <v/>
      </c>
      <c r="C49" s="258" t="str">
        <f t="shared" si="0"/>
        <v/>
      </c>
      <c r="D49" s="276" t="str">
        <f t="shared" si="1"/>
        <v/>
      </c>
      <c r="E49" s="276"/>
      <c r="F49" s="277" t="str">
        <f t="shared" si="2"/>
        <v/>
      </c>
      <c r="G49" s="1" t="str">
        <f t="shared" si="3"/>
        <v/>
      </c>
    </row>
    <row r="50" spans="1:7" s="1" customFormat="1" ht="15" x14ac:dyDescent="0.2">
      <c r="A50" s="258" t="str">
        <f>STAT!B42</f>
        <v/>
      </c>
      <c r="B50" s="258" t="str">
        <f>STAT!C42</f>
        <v/>
      </c>
      <c r="C50" s="258" t="str">
        <f t="shared" si="0"/>
        <v/>
      </c>
      <c r="D50" s="276" t="str">
        <f t="shared" si="1"/>
        <v/>
      </c>
      <c r="E50" s="276"/>
      <c r="F50" s="277" t="str">
        <f t="shared" si="2"/>
        <v/>
      </c>
      <c r="G50" s="1" t="str">
        <f t="shared" si="3"/>
        <v/>
      </c>
    </row>
    <row r="51" spans="1:7" s="1" customFormat="1" ht="15" x14ac:dyDescent="0.2">
      <c r="A51" s="258" t="str">
        <f>STAT!B43</f>
        <v/>
      </c>
      <c r="B51" s="258" t="str">
        <f>STAT!C43</f>
        <v/>
      </c>
      <c r="C51" s="258" t="str">
        <f t="shared" si="0"/>
        <v/>
      </c>
      <c r="D51" s="276" t="str">
        <f t="shared" si="1"/>
        <v/>
      </c>
      <c r="E51" s="276"/>
      <c r="F51" s="277" t="str">
        <f t="shared" si="2"/>
        <v/>
      </c>
      <c r="G51" s="1" t="str">
        <f t="shared" si="3"/>
        <v/>
      </c>
    </row>
    <row r="52" spans="1:7" s="1" customFormat="1" ht="15" x14ac:dyDescent="0.2">
      <c r="A52" s="258" t="str">
        <f>STAT!B44</f>
        <v/>
      </c>
      <c r="B52" s="258" t="str">
        <f>STAT!C44</f>
        <v/>
      </c>
      <c r="C52" s="258" t="str">
        <f t="shared" si="0"/>
        <v/>
      </c>
      <c r="D52" s="276" t="str">
        <f t="shared" si="1"/>
        <v/>
      </c>
      <c r="E52" s="276"/>
      <c r="F52" s="277" t="str">
        <f t="shared" si="2"/>
        <v/>
      </c>
      <c r="G52" s="1" t="str">
        <f t="shared" si="3"/>
        <v/>
      </c>
    </row>
    <row r="53" spans="1:7" s="1" customFormat="1" ht="15" x14ac:dyDescent="0.2">
      <c r="A53" s="258" t="str">
        <f>STAT!B45</f>
        <v/>
      </c>
      <c r="B53" s="258" t="str">
        <f>STAT!C45</f>
        <v/>
      </c>
      <c r="C53" s="258" t="str">
        <f t="shared" si="0"/>
        <v/>
      </c>
      <c r="D53" s="276" t="str">
        <f t="shared" si="1"/>
        <v/>
      </c>
      <c r="E53" s="276"/>
      <c r="F53" s="277" t="str">
        <f t="shared" si="2"/>
        <v/>
      </c>
      <c r="G53" s="1" t="str">
        <f t="shared" si="3"/>
        <v/>
      </c>
    </row>
    <row r="54" spans="1:7" s="1" customFormat="1" ht="15" x14ac:dyDescent="0.2">
      <c r="A54" s="258" t="str">
        <f>STAT!B46</f>
        <v/>
      </c>
      <c r="B54" s="258" t="str">
        <f>STAT!C46</f>
        <v/>
      </c>
      <c r="C54" s="258" t="str">
        <f t="shared" si="0"/>
        <v/>
      </c>
      <c r="D54" s="276" t="str">
        <f t="shared" si="1"/>
        <v/>
      </c>
      <c r="E54" s="276"/>
      <c r="F54" s="277" t="str">
        <f t="shared" si="2"/>
        <v/>
      </c>
      <c r="G54" s="1" t="str">
        <f t="shared" si="3"/>
        <v/>
      </c>
    </row>
    <row r="55" spans="1:7" s="1" customFormat="1" ht="15" x14ac:dyDescent="0.2">
      <c r="A55" s="258" t="str">
        <f>STAT!B47</f>
        <v/>
      </c>
      <c r="B55" s="258" t="str">
        <f>STAT!C47</f>
        <v/>
      </c>
      <c r="C55" s="258" t="str">
        <f t="shared" si="0"/>
        <v/>
      </c>
      <c r="D55" s="276" t="str">
        <f t="shared" si="1"/>
        <v/>
      </c>
      <c r="E55" s="276"/>
      <c r="F55" s="277" t="str">
        <f t="shared" si="2"/>
        <v/>
      </c>
      <c r="G55" s="1" t="str">
        <f t="shared" si="3"/>
        <v/>
      </c>
    </row>
    <row r="56" spans="1:7" s="1" customFormat="1" ht="15" x14ac:dyDescent="0.2">
      <c r="A56" s="258" t="str">
        <f>STAT!B48</f>
        <v/>
      </c>
      <c r="B56" s="258" t="str">
        <f>STAT!C48</f>
        <v/>
      </c>
      <c r="C56" s="258" t="str">
        <f t="shared" si="0"/>
        <v/>
      </c>
      <c r="D56" s="276" t="str">
        <f t="shared" si="1"/>
        <v/>
      </c>
      <c r="E56" s="276"/>
      <c r="F56" s="277" t="str">
        <f t="shared" si="2"/>
        <v/>
      </c>
      <c r="G56" s="1" t="str">
        <f t="shared" si="3"/>
        <v/>
      </c>
    </row>
    <row r="57" spans="1:7" s="1" customFormat="1" ht="15" x14ac:dyDescent="0.2">
      <c r="A57" s="258" t="str">
        <f>STAT!B49</f>
        <v/>
      </c>
      <c r="B57" s="258" t="str">
        <f>STAT!C49</f>
        <v/>
      </c>
      <c r="C57" s="258" t="str">
        <f t="shared" si="0"/>
        <v/>
      </c>
      <c r="D57" s="276" t="str">
        <f t="shared" si="1"/>
        <v/>
      </c>
      <c r="E57" s="276"/>
      <c r="F57" s="277" t="str">
        <f t="shared" si="2"/>
        <v/>
      </c>
      <c r="G57" s="1" t="str">
        <f t="shared" si="3"/>
        <v/>
      </c>
    </row>
    <row r="58" spans="1:7" s="1" customFormat="1" ht="15" x14ac:dyDescent="0.2">
      <c r="A58" s="258" t="str">
        <f>STAT!B50</f>
        <v/>
      </c>
      <c r="B58" s="258" t="str">
        <f>STAT!C50</f>
        <v/>
      </c>
      <c r="C58" s="258" t="str">
        <f t="shared" si="0"/>
        <v/>
      </c>
      <c r="D58" s="276" t="str">
        <f t="shared" si="1"/>
        <v/>
      </c>
      <c r="E58" s="276"/>
      <c r="F58" s="277" t="str">
        <f t="shared" si="2"/>
        <v/>
      </c>
      <c r="G58" s="1" t="str">
        <f t="shared" si="3"/>
        <v/>
      </c>
    </row>
    <row r="59" spans="1:7" s="1" customFormat="1" ht="15" x14ac:dyDescent="0.2">
      <c r="A59" s="258" t="str">
        <f>STAT!B51</f>
        <v/>
      </c>
      <c r="B59" s="258" t="str">
        <f>STAT!C51</f>
        <v/>
      </c>
      <c r="C59" s="258" t="str">
        <f t="shared" si="0"/>
        <v/>
      </c>
      <c r="D59" s="276" t="str">
        <f t="shared" si="1"/>
        <v/>
      </c>
      <c r="E59" s="276"/>
      <c r="F59" s="277" t="str">
        <f t="shared" si="2"/>
        <v/>
      </c>
      <c r="G59" s="1" t="str">
        <f t="shared" si="3"/>
        <v/>
      </c>
    </row>
    <row r="60" spans="1:7" s="1" customFormat="1" ht="15" x14ac:dyDescent="0.2">
      <c r="A60" s="258" t="str">
        <f>STAT!B52</f>
        <v/>
      </c>
      <c r="B60" s="258" t="str">
        <f>STAT!C52</f>
        <v/>
      </c>
      <c r="C60" s="258" t="str">
        <f t="shared" si="0"/>
        <v/>
      </c>
      <c r="D60" s="276" t="str">
        <f t="shared" si="1"/>
        <v/>
      </c>
      <c r="E60" s="276"/>
      <c r="F60" s="277" t="str">
        <f t="shared" si="2"/>
        <v/>
      </c>
      <c r="G60" s="1" t="str">
        <f t="shared" si="3"/>
        <v/>
      </c>
    </row>
    <row r="61" spans="1:7" s="1" customFormat="1" ht="15" x14ac:dyDescent="0.2">
      <c r="A61" s="258" t="str">
        <f>STAT!B53</f>
        <v/>
      </c>
      <c r="B61" s="258" t="str">
        <f>STAT!C53</f>
        <v/>
      </c>
      <c r="C61" s="258" t="str">
        <f t="shared" si="0"/>
        <v/>
      </c>
      <c r="D61" s="276" t="str">
        <f t="shared" si="1"/>
        <v/>
      </c>
      <c r="E61" s="276"/>
      <c r="F61" s="277" t="str">
        <f t="shared" si="2"/>
        <v/>
      </c>
      <c r="G61" s="1" t="str">
        <f t="shared" si="3"/>
        <v/>
      </c>
    </row>
    <row r="62" spans="1:7" s="1" customFormat="1" ht="15" x14ac:dyDescent="0.2">
      <c r="A62" s="258" t="str">
        <f>STAT!B54</f>
        <v/>
      </c>
      <c r="B62" s="258" t="str">
        <f>STAT!C54</f>
        <v/>
      </c>
      <c r="C62" s="258" t="str">
        <f t="shared" si="0"/>
        <v/>
      </c>
      <c r="D62" s="276" t="str">
        <f t="shared" si="1"/>
        <v/>
      </c>
      <c r="E62" s="276"/>
      <c r="F62" s="277" t="str">
        <f t="shared" si="2"/>
        <v/>
      </c>
      <c r="G62" s="1" t="str">
        <f t="shared" si="3"/>
        <v/>
      </c>
    </row>
    <row r="63" spans="1:7" s="1" customFormat="1" ht="15" x14ac:dyDescent="0.2">
      <c r="A63" s="258" t="str">
        <f>STAT!B55</f>
        <v/>
      </c>
      <c r="B63" s="258" t="str">
        <f>STAT!C55</f>
        <v/>
      </c>
      <c r="C63" s="258" t="str">
        <f t="shared" si="0"/>
        <v/>
      </c>
      <c r="D63" s="276" t="str">
        <f t="shared" si="1"/>
        <v/>
      </c>
      <c r="E63" s="276"/>
      <c r="F63" s="277" t="str">
        <f t="shared" si="2"/>
        <v/>
      </c>
      <c r="G63" s="1" t="str">
        <f t="shared" si="3"/>
        <v/>
      </c>
    </row>
    <row r="64" spans="1:7" s="1" customFormat="1" ht="15" x14ac:dyDescent="0.2">
      <c r="A64" s="258" t="str">
        <f>STAT!B56</f>
        <v/>
      </c>
      <c r="B64" s="258" t="str">
        <f>STAT!C56</f>
        <v/>
      </c>
      <c r="C64" s="258" t="str">
        <f t="shared" si="0"/>
        <v/>
      </c>
      <c r="D64" s="276" t="str">
        <f t="shared" si="1"/>
        <v/>
      </c>
      <c r="E64" s="276"/>
      <c r="F64" s="277" t="str">
        <f t="shared" si="2"/>
        <v/>
      </c>
      <c r="G64" s="1" t="str">
        <f t="shared" si="3"/>
        <v/>
      </c>
    </row>
    <row r="65" spans="1:8" s="1" customFormat="1" ht="15" x14ac:dyDescent="0.2">
      <c r="A65" s="258" t="str">
        <f>STAT!B57</f>
        <v/>
      </c>
      <c r="B65" s="258" t="str">
        <f>STAT!C57</f>
        <v/>
      </c>
      <c r="C65" s="258" t="str">
        <f t="shared" si="0"/>
        <v/>
      </c>
      <c r="D65" s="276" t="str">
        <f t="shared" si="1"/>
        <v/>
      </c>
      <c r="E65" s="276"/>
      <c r="F65" s="277" t="str">
        <f t="shared" si="2"/>
        <v/>
      </c>
      <c r="G65" s="1" t="str">
        <f t="shared" si="3"/>
        <v/>
      </c>
    </row>
    <row r="66" spans="1:8" s="1" customFormat="1" ht="15" x14ac:dyDescent="0.2">
      <c r="A66" s="258" t="str">
        <f>STAT!B58</f>
        <v/>
      </c>
      <c r="B66" s="258" t="str">
        <f>STAT!C58</f>
        <v/>
      </c>
      <c r="C66" s="258" t="str">
        <f t="shared" si="0"/>
        <v/>
      </c>
      <c r="D66" s="276" t="str">
        <f t="shared" si="1"/>
        <v/>
      </c>
      <c r="E66" s="276"/>
      <c r="F66" s="277" t="str">
        <f t="shared" si="2"/>
        <v/>
      </c>
      <c r="G66" s="1" t="str">
        <f t="shared" si="3"/>
        <v/>
      </c>
    </row>
    <row r="67" spans="1:8" s="1" customFormat="1" ht="15" x14ac:dyDescent="0.2">
      <c r="A67" s="258" t="str">
        <f>STAT!B59</f>
        <v/>
      </c>
      <c r="B67" s="258" t="str">
        <f>STAT!C59</f>
        <v/>
      </c>
      <c r="C67" s="258" t="str">
        <f t="shared" si="0"/>
        <v/>
      </c>
      <c r="D67" s="276" t="str">
        <f t="shared" si="1"/>
        <v/>
      </c>
      <c r="E67" s="276"/>
      <c r="F67" s="277" t="str">
        <f t="shared" si="2"/>
        <v/>
      </c>
      <c r="G67" s="1" t="str">
        <f t="shared" si="3"/>
        <v/>
      </c>
    </row>
    <row r="68" spans="1:8" s="1" customFormat="1" ht="15" x14ac:dyDescent="0.2">
      <c r="A68" s="258" t="str">
        <f>STAT!B60</f>
        <v/>
      </c>
      <c r="B68" s="258" t="str">
        <f>STAT!C60</f>
        <v/>
      </c>
      <c r="C68" s="258" t="str">
        <f t="shared" si="0"/>
        <v/>
      </c>
      <c r="D68" s="276" t="str">
        <f t="shared" si="1"/>
        <v/>
      </c>
      <c r="E68" s="276"/>
      <c r="F68" s="277" t="str">
        <f t="shared" si="2"/>
        <v/>
      </c>
      <c r="G68" s="1" t="str">
        <f t="shared" si="3"/>
        <v/>
      </c>
    </row>
    <row r="69" spans="1:8" s="1" customFormat="1" ht="15" x14ac:dyDescent="0.2">
      <c r="A69" s="258" t="str">
        <f>STAT!B61</f>
        <v/>
      </c>
      <c r="B69" s="258" t="str">
        <f>STAT!C61</f>
        <v/>
      </c>
      <c r="C69" s="258" t="str">
        <f t="shared" si="0"/>
        <v/>
      </c>
      <c r="D69" s="276" t="str">
        <f t="shared" si="1"/>
        <v/>
      </c>
      <c r="E69" s="276"/>
      <c r="F69" s="277" t="str">
        <f t="shared" si="2"/>
        <v/>
      </c>
      <c r="G69" s="1" t="str">
        <f t="shared" si="3"/>
        <v/>
      </c>
    </row>
    <row r="70" spans="1:8" ht="15" x14ac:dyDescent="0.2">
      <c r="A70" s="241"/>
      <c r="F70" s="260"/>
      <c r="G70" s="246" t="str">
        <f>IF(ISNUMBER(A70),IF(ISNUMBER(D70),LN((1/((2*PI())^0.5*B$12))*EXP(-(1/2)*((LN(A70)-B$11)/B$12)^2)),LN(NORMDIST(LN(A70),$B$11,$B$12,TRUE))),"")</f>
        <v/>
      </c>
      <c r="H70" s="220"/>
    </row>
    <row r="71" spans="1:8" ht="15" x14ac:dyDescent="0.2">
      <c r="A71" s="236"/>
      <c r="F71" s="260"/>
      <c r="H71" s="220"/>
    </row>
    <row r="72" spans="1:8" x14ac:dyDescent="0.2">
      <c r="F72" s="260"/>
      <c r="H72" s="220"/>
    </row>
    <row r="73" spans="1:8" x14ac:dyDescent="0.2">
      <c r="F73" s="260"/>
      <c r="H73" s="220"/>
    </row>
  </sheetData>
  <mergeCells count="3">
    <mergeCell ref="C9:E9"/>
    <mergeCell ref="H9:J9"/>
    <mergeCell ref="F18:H1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325F7-05E0-7C4D-B558-32D9FFB65FF4}">
  <sheetPr codeName="Sheet4"/>
  <dimension ref="A1:T656"/>
  <sheetViews>
    <sheetView topLeftCell="A7" workbookViewId="0">
      <selection activeCell="R46" sqref="R46"/>
    </sheetView>
  </sheetViews>
  <sheetFormatPr baseColWidth="10" defaultColWidth="11.42578125" defaultRowHeight="14" x14ac:dyDescent="0.2"/>
  <cols>
    <col min="1" max="1" width="6.42578125" customWidth="1"/>
    <col min="2" max="2" width="5.5703125" style="4" customWidth="1"/>
    <col min="3" max="3" width="7.42578125" customWidth="1"/>
    <col min="4" max="4" width="7" customWidth="1"/>
    <col min="5" max="5" width="8.140625" customWidth="1"/>
    <col min="6" max="6" width="7.28515625" customWidth="1"/>
    <col min="7" max="7" width="4" customWidth="1"/>
    <col min="8" max="8" width="10.140625" customWidth="1"/>
    <col min="9" max="9" width="10.28515625" customWidth="1"/>
    <col min="10" max="10" width="9.5703125" customWidth="1"/>
    <col min="11" max="11" width="3.28515625" customWidth="1"/>
    <col min="12" max="12" width="8.85546875" customWidth="1"/>
    <col min="13" max="13" width="3.42578125" customWidth="1"/>
    <col min="16" max="16" width="3.28515625" customWidth="1"/>
    <col min="17" max="17" width="3.28515625" style="11" customWidth="1"/>
    <col min="20" max="20" width="3.7109375" customWidth="1"/>
  </cols>
  <sheetData>
    <row r="1" spans="1:20" ht="17" x14ac:dyDescent="0.2">
      <c r="A1" s="6"/>
      <c r="B1" s="6"/>
      <c r="C1" s="6"/>
      <c r="D1" s="6"/>
      <c r="E1" s="6"/>
      <c r="F1" s="6"/>
      <c r="G1" s="6"/>
      <c r="H1" s="6"/>
      <c r="I1" s="6"/>
      <c r="J1" s="6"/>
      <c r="K1" s="6"/>
      <c r="L1" s="6"/>
      <c r="M1" s="6"/>
      <c r="N1" s="52" t="s">
        <v>252</v>
      </c>
      <c r="O1" s="52"/>
      <c r="P1" s="52"/>
      <c r="Q1" s="34"/>
      <c r="R1" s="61" t="s">
        <v>253</v>
      </c>
      <c r="S1" s="5"/>
      <c r="T1" s="6"/>
    </row>
    <row r="2" spans="1:20" ht="15" thickBot="1" x14ac:dyDescent="0.25">
      <c r="A2" s="6"/>
      <c r="B2" s="6"/>
      <c r="C2" s="6"/>
      <c r="D2" s="6"/>
      <c r="E2" s="6"/>
      <c r="F2" s="6"/>
      <c r="G2" s="6"/>
      <c r="H2" s="51" t="s">
        <v>251</v>
      </c>
      <c r="I2" s="42"/>
      <c r="J2" s="41"/>
      <c r="K2" s="41"/>
      <c r="L2" s="41"/>
      <c r="M2" s="6"/>
      <c r="N2" s="53"/>
      <c r="O2" s="53"/>
      <c r="P2" s="53"/>
      <c r="Q2" s="6"/>
      <c r="R2" s="5"/>
      <c r="S2" s="5"/>
      <c r="T2" s="6"/>
    </row>
    <row r="3" spans="1:20" ht="16" thickTop="1" thickBot="1" x14ac:dyDescent="0.25">
      <c r="A3" s="6"/>
      <c r="B3" s="6"/>
      <c r="C3" s="6" t="s">
        <v>165</v>
      </c>
      <c r="D3" s="35">
        <f>COUNT(C10:C59)</f>
        <v>11</v>
      </c>
      <c r="E3" s="6"/>
      <c r="F3" s="6"/>
      <c r="G3" s="6"/>
      <c r="H3" s="6"/>
      <c r="I3" s="6"/>
      <c r="J3" s="6"/>
      <c r="K3" s="6"/>
      <c r="L3" s="6"/>
      <c r="M3" s="6"/>
      <c r="N3" s="66" t="s">
        <v>242</v>
      </c>
      <c r="O3" s="66"/>
      <c r="P3" s="66"/>
      <c r="Q3" s="8"/>
      <c r="R3" s="67" t="s">
        <v>244</v>
      </c>
      <c r="S3" s="62"/>
      <c r="T3" s="6"/>
    </row>
    <row r="4" spans="1:20" ht="15" thickTop="1" x14ac:dyDescent="0.2">
      <c r="A4" s="6"/>
      <c r="B4" s="6"/>
      <c r="C4" s="6" t="s">
        <v>226</v>
      </c>
      <c r="D4" s="36">
        <f>COUNTIF(D10:D59,"="&amp;"&lt;")</f>
        <v>4</v>
      </c>
      <c r="E4" s="6"/>
      <c r="F4" s="6"/>
      <c r="G4" s="6"/>
      <c r="H4" s="6"/>
      <c r="I4" s="6"/>
      <c r="J4" s="6"/>
      <c r="K4" s="6"/>
      <c r="L4" s="6"/>
      <c r="M4" s="6"/>
      <c r="N4" s="54" t="s">
        <v>225</v>
      </c>
      <c r="O4" s="55">
        <f>AVERAGE(E10:E59)</f>
        <v>-4.5432771655548541</v>
      </c>
      <c r="P4" s="53"/>
      <c r="Q4" s="6"/>
      <c r="R4" s="63" t="s">
        <v>243</v>
      </c>
      <c r="S4" s="254">
        <f>AVERAGE(F10:F59)</f>
        <v>1.5985714285714287E-2</v>
      </c>
      <c r="T4" s="6"/>
    </row>
    <row r="5" spans="1:20" x14ac:dyDescent="0.2">
      <c r="A5" s="6"/>
      <c r="B5" s="6"/>
      <c r="C5" s="6" t="s">
        <v>229</v>
      </c>
      <c r="D5" s="36">
        <f>D3-D4</f>
        <v>7</v>
      </c>
      <c r="E5" s="6"/>
      <c r="F5" s="6"/>
      <c r="G5" s="6"/>
      <c r="H5" s="51" t="s">
        <v>242</v>
      </c>
      <c r="I5" s="51"/>
      <c r="J5" s="51"/>
      <c r="K5" s="51"/>
      <c r="L5" s="51" t="s">
        <v>244</v>
      </c>
      <c r="M5" s="6"/>
      <c r="N5" s="54" t="s">
        <v>227</v>
      </c>
      <c r="O5" s="56">
        <f>NORMSINV($D$4/($D$3))</f>
        <v>-0.34875569551704472</v>
      </c>
      <c r="P5" s="53"/>
      <c r="Q5" s="6"/>
      <c r="R5" s="63" t="s">
        <v>227</v>
      </c>
      <c r="S5" s="255">
        <f>NORMSINV($D$4/($D$3))</f>
        <v>-0.34875569551704472</v>
      </c>
      <c r="T5" s="6"/>
    </row>
    <row r="6" spans="1:20" ht="15" thickBot="1" x14ac:dyDescent="0.25">
      <c r="A6" s="6"/>
      <c r="B6" s="6"/>
      <c r="C6" s="6" t="s">
        <v>234</v>
      </c>
      <c r="D6" s="37">
        <f>MIN(C10:C59)</f>
        <v>3.0000000000000001E-3</v>
      </c>
      <c r="E6" s="6"/>
      <c r="F6" s="6"/>
      <c r="G6" s="6"/>
      <c r="H6" s="6"/>
      <c r="I6" s="6"/>
      <c r="J6" s="6"/>
      <c r="K6" s="6"/>
      <c r="L6" s="6"/>
      <c r="M6" s="6"/>
      <c r="N6" s="54" t="s">
        <v>230</v>
      </c>
      <c r="O6" s="56">
        <f>NORMDIST(O5,0,1,0)/(1-NORMDIST(O5,0,1,1))</f>
        <v>0.58991980382620601</v>
      </c>
      <c r="P6" s="53"/>
      <c r="Q6" s="6"/>
      <c r="R6" s="63" t="s">
        <v>230</v>
      </c>
      <c r="S6" s="255">
        <f>NORMDIST(S5,0,1,0)/(1-NORMDIST(S5,0,1,1))</f>
        <v>0.58991980382620601</v>
      </c>
      <c r="T6" s="6"/>
    </row>
    <row r="7" spans="1:20" ht="15" thickTop="1" x14ac:dyDescent="0.2">
      <c r="A7" s="6"/>
      <c r="B7" s="6"/>
      <c r="C7" s="6"/>
      <c r="D7" s="6"/>
      <c r="E7" s="6"/>
      <c r="F7" s="6"/>
      <c r="G7" s="6"/>
      <c r="H7" s="6"/>
      <c r="I7" s="6"/>
      <c r="J7" s="6"/>
      <c r="K7" s="6"/>
      <c r="L7" s="6"/>
      <c r="M7" s="6"/>
      <c r="N7" s="54" t="s">
        <v>233</v>
      </c>
      <c r="O7" s="56">
        <f>SQRT(($O$4-LN(D6))^2/($O$6-$O$5)^2)</f>
        <v>1.348565958784312</v>
      </c>
      <c r="P7" s="53"/>
      <c r="Q7" s="6"/>
      <c r="R7" s="63" t="s">
        <v>233</v>
      </c>
      <c r="S7" s="255">
        <f>SQRT(($S$4-(D6))^2/($S$6-$S$5)^2)</f>
        <v>1.3834082486226404E-2</v>
      </c>
      <c r="T7" s="6"/>
    </row>
    <row r="8" spans="1:20" ht="15" thickBot="1" x14ac:dyDescent="0.25">
      <c r="A8" s="6"/>
      <c r="B8" s="6"/>
      <c r="C8" s="6"/>
      <c r="D8" s="6"/>
      <c r="E8" s="6"/>
      <c r="F8" s="6"/>
      <c r="G8" s="6"/>
      <c r="H8" s="6"/>
      <c r="I8" s="6"/>
      <c r="J8" s="6"/>
      <c r="K8" s="6"/>
      <c r="L8" s="6"/>
      <c r="M8" s="6"/>
      <c r="N8" s="54" t="s">
        <v>235</v>
      </c>
      <c r="O8" s="57">
        <f>(1-NORMDIST($O$5-$O$7/$D$3,0,1,TRUE))/(1-NORMDIST($O$5,0,1,TRUE))</f>
        <v>1.0706229612571436</v>
      </c>
      <c r="P8" s="53"/>
      <c r="Q8" s="6"/>
      <c r="R8" s="63" t="s">
        <v>235</v>
      </c>
      <c r="S8" s="256">
        <f>(1-NORMDIST($S$5-$S$7/$D$3,0,1,TRUE))/(1-NORMDIST($S$5,0,1,TRUE))</f>
        <v>1.0007417461443264</v>
      </c>
      <c r="T8" s="6"/>
    </row>
    <row r="9" spans="1:20" ht="15" thickTop="1" x14ac:dyDescent="0.2">
      <c r="A9" s="6"/>
      <c r="B9" s="48" t="s">
        <v>248</v>
      </c>
      <c r="C9" s="49" t="s">
        <v>249</v>
      </c>
      <c r="D9" s="49" t="s">
        <v>250</v>
      </c>
      <c r="E9" s="50" t="s">
        <v>238</v>
      </c>
      <c r="F9" s="50" t="s">
        <v>237</v>
      </c>
      <c r="G9" s="38"/>
      <c r="H9" s="70" t="s">
        <v>245</v>
      </c>
      <c r="I9" s="70" t="s">
        <v>246</v>
      </c>
      <c r="J9" s="70" t="s">
        <v>238</v>
      </c>
      <c r="K9" s="41"/>
      <c r="L9" s="70" t="s">
        <v>245</v>
      </c>
      <c r="M9" s="6"/>
      <c r="N9" s="53"/>
      <c r="O9" s="53"/>
      <c r="P9" s="53"/>
      <c r="Q9" s="6"/>
      <c r="R9" s="5"/>
      <c r="S9" s="5"/>
      <c r="T9" s="6"/>
    </row>
    <row r="10" spans="1:20" ht="15" thickBot="1" x14ac:dyDescent="0.25">
      <c r="A10" s="6">
        <v>1</v>
      </c>
      <c r="B10" s="44">
        <v>1</v>
      </c>
      <c r="C10" s="45">
        <f>IF(STAT!B12=0,"",STAT!B12)</f>
        <v>3.0000000000000001E-3</v>
      </c>
      <c r="D10" s="45" t="str">
        <f>IF(AND(STAT!B12&gt;0,STAT!C12="&lt;"),"&lt;","")</f>
        <v/>
      </c>
      <c r="E10" s="46">
        <f>IF(OR(C10="",D10="&lt;"),"",LN(C10))</f>
        <v>-5.8091429903140277</v>
      </c>
      <c r="F10" s="47">
        <f>IF(OR(C10="",D10="&lt;"),"",(C10))</f>
        <v>3.0000000000000001E-3</v>
      </c>
      <c r="G10" s="38"/>
      <c r="H10" s="69">
        <f>IF(C10="","",IF(D10="&lt;",$N$13*C10,C10))</f>
        <v>3.0000000000000001E-3</v>
      </c>
      <c r="I10" s="69">
        <f>IF(C10="","",IF(D10="&lt;",$O$13*C10,C10))</f>
        <v>3.0000000000000001E-3</v>
      </c>
      <c r="J10" s="69">
        <f>IF(C10="","",LN(I10))</f>
        <v>-5.8091429903140277</v>
      </c>
      <c r="K10" s="41"/>
      <c r="L10" s="69">
        <f t="shared" ref="L10:L41" si="0">IF(C10="","",IF(D10="&lt;",$R$13*C10,C10))</f>
        <v>3.0000000000000001E-3</v>
      </c>
      <c r="M10" s="6"/>
      <c r="N10" s="53"/>
      <c r="O10" s="53"/>
      <c r="P10" s="53"/>
      <c r="Q10" s="6"/>
      <c r="R10" s="5"/>
      <c r="S10" s="5"/>
      <c r="T10" s="6"/>
    </row>
    <row r="11" spans="1:20" ht="15" thickBot="1" x14ac:dyDescent="0.25">
      <c r="A11" s="6">
        <v>2</v>
      </c>
      <c r="B11" s="33">
        <v>2</v>
      </c>
      <c r="C11" s="12">
        <f>IF(STAT!B13=0,"",STAT!B13)</f>
        <v>1.6500000000000001E-2</v>
      </c>
      <c r="D11" s="45" t="str">
        <f>IF(AND(STAT!B13&gt;0,STAT!C13="&lt;"),"&lt;","")</f>
        <v/>
      </c>
      <c r="E11" s="39">
        <f t="shared" ref="E11:E54" si="1">IF(OR(C11="",D11="&lt;"),"",LN(C11))</f>
        <v>-4.1043948980756024</v>
      </c>
      <c r="F11" s="40">
        <f t="shared" ref="F11:F54" si="2">IF(OR(C11="",D11="&lt;"),"",(C11))</f>
        <v>1.6500000000000001E-2</v>
      </c>
      <c r="G11" s="38"/>
      <c r="H11" s="43">
        <f t="shared" ref="H11:H41" si="3">IF(C11="","",IF(D11="&lt;",$N$13*C11,C11))</f>
        <v>1.6500000000000001E-2</v>
      </c>
      <c r="I11" s="69">
        <f t="shared" ref="I11:I59" si="4">IF(C11="","",IF(D11="&lt;",$O$13*C11,C11))</f>
        <v>1.6500000000000001E-2</v>
      </c>
      <c r="J11" s="43">
        <f t="shared" ref="J11:J51" si="5">IF(C11="","",LN(I11))</f>
        <v>-4.1043948980756024</v>
      </c>
      <c r="K11" s="41"/>
      <c r="L11" s="43">
        <f t="shared" si="0"/>
        <v>1.6500000000000001E-2</v>
      </c>
      <c r="M11" s="6"/>
      <c r="N11" s="53"/>
      <c r="O11" s="53"/>
      <c r="P11" s="53"/>
      <c r="Q11" s="6"/>
      <c r="R11" s="5"/>
      <c r="S11" s="5"/>
      <c r="T11" s="6"/>
    </row>
    <row r="12" spans="1:20" ht="15" thickBot="1" x14ac:dyDescent="0.25">
      <c r="A12" s="6">
        <v>3</v>
      </c>
      <c r="B12" s="33">
        <v>3</v>
      </c>
      <c r="C12" s="12">
        <f>IF(STAT!B14=0,"",STAT!B14)</f>
        <v>1.2999999999999999E-2</v>
      </c>
      <c r="D12" s="45" t="str">
        <f>IF(AND(STAT!B14&gt;0,STAT!C14="&lt;"),"&lt;","")</f>
        <v>&lt;</v>
      </c>
      <c r="E12" s="39" t="str">
        <f t="shared" si="1"/>
        <v/>
      </c>
      <c r="F12" s="40" t="str">
        <f t="shared" si="2"/>
        <v/>
      </c>
      <c r="G12" s="38"/>
      <c r="H12" s="43">
        <f t="shared" si="3"/>
        <v>6.3664274045222491E-3</v>
      </c>
      <c r="I12" s="69">
        <f t="shared" si="4"/>
        <v>4.8402794293884617E-3</v>
      </c>
      <c r="J12" s="43">
        <f t="shared" si="5"/>
        <v>-5.3307828265753789</v>
      </c>
      <c r="K12" s="41"/>
      <c r="L12" s="43">
        <f t="shared" si="0"/>
        <v>1.287799968485218E-2</v>
      </c>
      <c r="M12" s="6"/>
      <c r="N12" s="58" t="s">
        <v>231</v>
      </c>
      <c r="O12" s="53" t="s">
        <v>232</v>
      </c>
      <c r="P12" s="53"/>
      <c r="Q12" s="6"/>
      <c r="R12" s="64" t="s">
        <v>231</v>
      </c>
      <c r="S12" s="5"/>
      <c r="T12" s="6"/>
    </row>
    <row r="13" spans="1:20" ht="15" thickBot="1" x14ac:dyDescent="0.25">
      <c r="A13" s="6">
        <v>4</v>
      </c>
      <c r="B13" s="33">
        <v>4</v>
      </c>
      <c r="C13" s="12">
        <f>IF(STAT!B15=0,"",STAT!B15)</f>
        <v>3.2000000000000002E-3</v>
      </c>
      <c r="D13" s="45" t="str">
        <f>IF(AND(STAT!B15&gt;0,STAT!C15="&lt;"),"&lt;","")</f>
        <v/>
      </c>
      <c r="E13" s="39">
        <f t="shared" si="1"/>
        <v>-5.7446044691764557</v>
      </c>
      <c r="F13" s="40">
        <f t="shared" si="2"/>
        <v>3.2000000000000002E-3</v>
      </c>
      <c r="G13" s="38"/>
      <c r="H13" s="43">
        <f t="shared" si="3"/>
        <v>3.2000000000000002E-3</v>
      </c>
      <c r="I13" s="69">
        <f t="shared" si="4"/>
        <v>3.2000000000000002E-3</v>
      </c>
      <c r="J13" s="43">
        <f t="shared" si="5"/>
        <v>-5.7446044691764557</v>
      </c>
      <c r="K13" s="41"/>
      <c r="L13" s="43">
        <f t="shared" si="0"/>
        <v>3.2000000000000002E-3</v>
      </c>
      <c r="M13" s="6"/>
      <c r="N13" s="59">
        <f>$D$3/$D$4*NORMDIST($O$5-$O$7,0,1,1)*EXP(-$O$7*$O$5+($O$7)^2/2)</f>
        <v>0.48972518496324996</v>
      </c>
      <c r="O13" s="59">
        <f>EXP((-($D$3-$D$4)*$D$3)/$D$4*LN(O8)-$O$7*$O$5-($D$3-$D$4)/(2*$D$4*$D$3)*($O$7)^2)</f>
        <v>0.37232918687603556</v>
      </c>
      <c r="P13" s="53"/>
      <c r="Q13" s="6"/>
      <c r="R13" s="62">
        <f>$D$3/$D$4*NORMDIST($S$5-$S$7,0,1,1)*EXP(-$S$7*$S$5+($S$7)^2/2)</f>
        <v>0.9906153603732446</v>
      </c>
      <c r="S13" s="5"/>
      <c r="T13" s="6"/>
    </row>
    <row r="14" spans="1:20" ht="15" thickBot="1" x14ac:dyDescent="0.25">
      <c r="A14" s="6">
        <v>5</v>
      </c>
      <c r="B14" s="33">
        <v>5</v>
      </c>
      <c r="C14" s="12">
        <f>IF(STAT!B16=0,"",STAT!B16)</f>
        <v>4.7999999999999996E-3</v>
      </c>
      <c r="D14" s="45" t="str">
        <f>IF(AND(STAT!B16&gt;0,STAT!C16="&lt;"),"&lt;","")</f>
        <v/>
      </c>
      <c r="E14" s="39">
        <f t="shared" si="1"/>
        <v>-5.339139361068292</v>
      </c>
      <c r="F14" s="40">
        <f t="shared" si="2"/>
        <v>4.7999999999999996E-3</v>
      </c>
      <c r="G14" s="38"/>
      <c r="H14" s="43">
        <f t="shared" si="3"/>
        <v>4.7999999999999996E-3</v>
      </c>
      <c r="I14" s="69">
        <f t="shared" si="4"/>
        <v>4.7999999999999996E-3</v>
      </c>
      <c r="J14" s="43">
        <f t="shared" si="5"/>
        <v>-5.339139361068292</v>
      </c>
      <c r="K14" s="41"/>
      <c r="L14" s="43">
        <f t="shared" si="0"/>
        <v>4.7999999999999996E-3</v>
      </c>
      <c r="M14" s="6"/>
      <c r="N14" s="53"/>
      <c r="O14" s="53"/>
      <c r="P14" s="53"/>
      <c r="Q14" s="6"/>
      <c r="R14" s="5"/>
      <c r="S14" s="5"/>
      <c r="T14" s="6"/>
    </row>
    <row r="15" spans="1:20" ht="15" thickBot="1" x14ac:dyDescent="0.25">
      <c r="A15" s="6">
        <v>6</v>
      </c>
      <c r="B15" s="33">
        <v>6</v>
      </c>
      <c r="C15" s="12">
        <f>IF(STAT!B17=0,"",STAT!B17)</f>
        <v>3.1399999999999997E-2</v>
      </c>
      <c r="D15" s="45" t="str">
        <f>IF(AND(STAT!B17&gt;0,STAT!C17="&lt;"),"&lt;","")</f>
        <v/>
      </c>
      <c r="E15" s="39">
        <f t="shared" si="1"/>
        <v>-3.4609473860679296</v>
      </c>
      <c r="F15" s="40">
        <f t="shared" si="2"/>
        <v>3.1399999999999997E-2</v>
      </c>
      <c r="G15" s="38"/>
      <c r="H15" s="43">
        <f t="shared" si="3"/>
        <v>3.1399999999999997E-2</v>
      </c>
      <c r="I15" s="69">
        <f t="shared" si="4"/>
        <v>3.1399999999999997E-2</v>
      </c>
      <c r="J15" s="43">
        <f t="shared" si="5"/>
        <v>-3.4609473860679296</v>
      </c>
      <c r="K15" s="41"/>
      <c r="L15" s="43">
        <f t="shared" si="0"/>
        <v>3.1399999999999997E-2</v>
      </c>
      <c r="M15" s="6"/>
      <c r="N15" s="53"/>
      <c r="O15" s="53"/>
      <c r="P15" s="53"/>
      <c r="Q15" s="6"/>
      <c r="R15" s="5"/>
      <c r="S15" s="5"/>
      <c r="T15" s="6"/>
    </row>
    <row r="16" spans="1:20" ht="18" thickBot="1" x14ac:dyDescent="0.25">
      <c r="A16" s="6">
        <v>7</v>
      </c>
      <c r="B16" s="33">
        <v>7</v>
      </c>
      <c r="C16" s="12">
        <f>IF(STAT!B18=0,"",STAT!B18)</f>
        <v>1.2999999999999999E-2</v>
      </c>
      <c r="D16" s="45" t="str">
        <f>IF(AND(STAT!B18&gt;0,STAT!C18="&lt;"),"&lt;","")</f>
        <v>&lt;</v>
      </c>
      <c r="E16" s="39" t="str">
        <f t="shared" si="1"/>
        <v/>
      </c>
      <c r="F16" s="40" t="str">
        <f t="shared" si="2"/>
        <v/>
      </c>
      <c r="G16" s="38"/>
      <c r="H16" s="43">
        <f t="shared" si="3"/>
        <v>6.3664274045222491E-3</v>
      </c>
      <c r="I16" s="69">
        <f t="shared" si="4"/>
        <v>4.8402794293884617E-3</v>
      </c>
      <c r="J16" s="43">
        <f t="shared" si="5"/>
        <v>-5.3307828265753789</v>
      </c>
      <c r="K16" s="41"/>
      <c r="L16" s="43">
        <f t="shared" si="0"/>
        <v>1.287799968485218E-2</v>
      </c>
      <c r="M16" s="6"/>
      <c r="N16" s="52"/>
      <c r="O16" s="52"/>
      <c r="P16" s="52"/>
      <c r="Q16" s="34"/>
      <c r="R16" s="61"/>
      <c r="S16" s="61"/>
      <c r="T16" s="6"/>
    </row>
    <row r="17" spans="1:20" ht="15" thickBot="1" x14ac:dyDescent="0.25">
      <c r="A17" s="6">
        <v>8</v>
      </c>
      <c r="B17" s="33">
        <v>8</v>
      </c>
      <c r="C17" s="12">
        <f>IF(STAT!B19=0,"",STAT!B19)</f>
        <v>1.2999999999999999E-2</v>
      </c>
      <c r="D17" s="45" t="str">
        <f>IF(AND(STAT!B19&gt;0,STAT!C19="&lt;"),"&lt;","")</f>
        <v>&lt;</v>
      </c>
      <c r="E17" s="39" t="str">
        <f t="shared" si="1"/>
        <v/>
      </c>
      <c r="F17" s="40" t="str">
        <f t="shared" si="2"/>
        <v/>
      </c>
      <c r="G17" s="38"/>
      <c r="H17" s="43">
        <f t="shared" si="3"/>
        <v>6.3664274045222491E-3</v>
      </c>
      <c r="I17" s="69">
        <f t="shared" si="4"/>
        <v>4.8402794293884617E-3</v>
      </c>
      <c r="J17" s="43">
        <f t="shared" si="5"/>
        <v>-5.3307828265753789</v>
      </c>
      <c r="K17" s="41"/>
      <c r="L17" s="43">
        <f t="shared" si="0"/>
        <v>1.287799968485218E-2</v>
      </c>
      <c r="M17" s="6"/>
      <c r="N17" s="53"/>
      <c r="O17" s="53"/>
      <c r="P17" s="53"/>
      <c r="Q17" s="6"/>
      <c r="R17" s="5"/>
      <c r="S17" s="5"/>
      <c r="T17" s="6"/>
    </row>
    <row r="18" spans="1:20" ht="16" thickTop="1" thickBot="1" x14ac:dyDescent="0.25">
      <c r="A18" s="6">
        <v>9</v>
      </c>
      <c r="B18" s="33">
        <v>9</v>
      </c>
      <c r="C18" s="12">
        <f>IF(STAT!B20=0,"",STAT!B20)</f>
        <v>3.4000000000000002E-2</v>
      </c>
      <c r="D18" s="45" t="str">
        <f>IF(AND(STAT!B20&gt;0,STAT!C20="&lt;"),"&lt;","")</f>
        <v/>
      </c>
      <c r="E18" s="39">
        <f t="shared" si="1"/>
        <v>-3.3813947543659757</v>
      </c>
      <c r="F18" s="40">
        <f t="shared" si="2"/>
        <v>3.4000000000000002E-2</v>
      </c>
      <c r="G18" s="38"/>
      <c r="H18" s="43">
        <f t="shared" si="3"/>
        <v>3.4000000000000002E-2</v>
      </c>
      <c r="I18" s="69">
        <f t="shared" si="4"/>
        <v>3.4000000000000002E-2</v>
      </c>
      <c r="J18" s="43">
        <f t="shared" si="5"/>
        <v>-3.3813947543659757</v>
      </c>
      <c r="K18" s="41"/>
      <c r="L18" s="43">
        <f t="shared" si="0"/>
        <v>3.4000000000000002E-2</v>
      </c>
      <c r="M18" s="6"/>
      <c r="N18" s="53" t="s">
        <v>224</v>
      </c>
      <c r="O18" s="68">
        <f>AVERAGE(H10:H59)</f>
        <v>1.253231225482293E-2</v>
      </c>
      <c r="P18" s="53"/>
      <c r="Q18" s="6"/>
      <c r="R18" s="5" t="s">
        <v>224</v>
      </c>
      <c r="S18" s="68">
        <f>AVERAGE(L10:L59)</f>
        <v>1.494569219088927E-2</v>
      </c>
      <c r="T18" s="6"/>
    </row>
    <row r="19" spans="1:20" ht="16" thickTop="1" thickBot="1" x14ac:dyDescent="0.25">
      <c r="A19" s="6">
        <v>10</v>
      </c>
      <c r="B19" s="33">
        <v>10</v>
      </c>
      <c r="C19" s="12">
        <f>IF(STAT!B21=0,"",STAT!B21)</f>
        <v>1.4E-2</v>
      </c>
      <c r="D19" s="45" t="str">
        <f>IF(AND(STAT!B21&gt;0,STAT!C21="&lt;"),"&lt;","")</f>
        <v>&lt;</v>
      </c>
      <c r="E19" s="39" t="str">
        <f t="shared" si="1"/>
        <v/>
      </c>
      <c r="F19" s="40" t="str">
        <f t="shared" si="2"/>
        <v/>
      </c>
      <c r="G19" s="38"/>
      <c r="H19" s="43">
        <f t="shared" si="3"/>
        <v>6.8561525894854994E-3</v>
      </c>
      <c r="I19" s="69">
        <f t="shared" si="4"/>
        <v>5.2126086162644983E-3</v>
      </c>
      <c r="J19" s="43">
        <f t="shared" si="5"/>
        <v>-5.2566748544216564</v>
      </c>
      <c r="K19" s="41"/>
      <c r="L19" s="43">
        <f t="shared" si="0"/>
        <v>1.3868615045225425E-2</v>
      </c>
      <c r="M19" s="6"/>
      <c r="N19" s="53"/>
      <c r="O19" s="53"/>
      <c r="P19" s="53"/>
      <c r="Q19" s="6"/>
      <c r="R19" s="5"/>
      <c r="S19" s="5"/>
      <c r="T19" s="6"/>
    </row>
    <row r="20" spans="1:20" ht="15" thickBot="1" x14ac:dyDescent="0.25">
      <c r="A20" s="6">
        <v>11</v>
      </c>
      <c r="B20" s="33">
        <v>11</v>
      </c>
      <c r="C20" s="12">
        <f>IF(STAT!B22=0,"",STAT!B22)</f>
        <v>1.9E-2</v>
      </c>
      <c r="D20" s="45" t="str">
        <f>IF(AND(STAT!B22&gt;0,STAT!C22="&lt;"),"&lt;","")</f>
        <v/>
      </c>
      <c r="E20" s="39">
        <f t="shared" si="1"/>
        <v>-3.9633162998156966</v>
      </c>
      <c r="F20" s="40">
        <f t="shared" si="2"/>
        <v>1.9E-2</v>
      </c>
      <c r="G20" s="38"/>
      <c r="H20" s="43">
        <f t="shared" si="3"/>
        <v>1.9E-2</v>
      </c>
      <c r="I20" s="69">
        <f t="shared" si="4"/>
        <v>1.9E-2</v>
      </c>
      <c r="J20" s="43">
        <f t="shared" si="5"/>
        <v>-3.9633162998156966</v>
      </c>
      <c r="K20" s="41"/>
      <c r="L20" s="43">
        <f t="shared" si="0"/>
        <v>1.9E-2</v>
      </c>
      <c r="M20" s="6"/>
      <c r="N20" s="53" t="s">
        <v>228</v>
      </c>
      <c r="O20" s="60">
        <f>STDEV(H10:H59)</f>
        <v>1.1218037560309866E-2</v>
      </c>
      <c r="P20" s="53"/>
      <c r="Q20" s="6"/>
      <c r="R20" s="5" t="s">
        <v>228</v>
      </c>
      <c r="S20" s="65">
        <f>STDEV(L10:L59)</f>
        <v>1.0248152249107729E-2</v>
      </c>
      <c r="T20" s="6"/>
    </row>
    <row r="21" spans="1:20" ht="15" thickBot="1" x14ac:dyDescent="0.25">
      <c r="A21" s="6">
        <v>12</v>
      </c>
      <c r="B21" s="33">
        <v>12</v>
      </c>
      <c r="C21" s="12" t="str">
        <f>IF(STAT!B23=0,"",STAT!B23)</f>
        <v/>
      </c>
      <c r="D21" s="45" t="str">
        <f>IF(AND(STAT!B23&gt;0,STAT!C23="&lt;"),"&lt;","")</f>
        <v/>
      </c>
      <c r="E21" s="39" t="str">
        <f t="shared" si="1"/>
        <v/>
      </c>
      <c r="F21" s="40" t="str">
        <f t="shared" si="2"/>
        <v/>
      </c>
      <c r="G21" s="38"/>
      <c r="H21" s="43" t="str">
        <f t="shared" si="3"/>
        <v/>
      </c>
      <c r="I21" s="69" t="str">
        <f t="shared" si="4"/>
        <v/>
      </c>
      <c r="J21" s="43" t="str">
        <f t="shared" si="5"/>
        <v/>
      </c>
      <c r="K21" s="41"/>
      <c r="L21" s="43" t="str">
        <f t="shared" si="0"/>
        <v/>
      </c>
      <c r="M21" s="6"/>
      <c r="N21" s="53"/>
      <c r="O21" s="53"/>
      <c r="P21" s="53"/>
      <c r="Q21" s="6"/>
      <c r="R21" s="5"/>
      <c r="S21" s="5"/>
      <c r="T21" s="6"/>
    </row>
    <row r="22" spans="1:20" ht="16" thickTop="1" thickBot="1" x14ac:dyDescent="0.25">
      <c r="A22" s="6">
        <v>13</v>
      </c>
      <c r="B22" s="33">
        <v>13</v>
      </c>
      <c r="C22" s="12" t="str">
        <f>IF(STAT!B24=0,"",STAT!B24)</f>
        <v/>
      </c>
      <c r="D22" s="45" t="str">
        <f>IF(AND(STAT!B24&gt;0,STAT!C24="&lt;"),"&lt;","")</f>
        <v/>
      </c>
      <c r="E22" s="39" t="str">
        <f t="shared" si="1"/>
        <v/>
      </c>
      <c r="F22" s="40" t="str">
        <f t="shared" si="2"/>
        <v/>
      </c>
      <c r="G22" s="38"/>
      <c r="H22" s="43" t="str">
        <f t="shared" si="3"/>
        <v/>
      </c>
      <c r="I22" s="69" t="str">
        <f t="shared" si="4"/>
        <v/>
      </c>
      <c r="J22" s="43" t="str">
        <f t="shared" si="5"/>
        <v/>
      </c>
      <c r="K22" s="41"/>
      <c r="L22" s="43" t="str">
        <f t="shared" si="0"/>
        <v/>
      </c>
      <c r="M22" s="6"/>
      <c r="N22" s="53"/>
      <c r="O22" s="53"/>
      <c r="P22" s="53"/>
      <c r="Q22" s="6"/>
      <c r="R22" s="5" t="s">
        <v>236</v>
      </c>
      <c r="S22" s="68">
        <f>S18+1.645*S20</f>
        <v>3.1803902640671483E-2</v>
      </c>
      <c r="T22" s="6"/>
    </row>
    <row r="23" spans="1:20" ht="16" thickTop="1" thickBot="1" x14ac:dyDescent="0.25">
      <c r="A23" s="6">
        <v>14</v>
      </c>
      <c r="B23" s="33">
        <v>14</v>
      </c>
      <c r="C23" s="12" t="str">
        <f>IF(STAT!B25=0,"",STAT!B25)</f>
        <v/>
      </c>
      <c r="D23" s="45" t="str">
        <f>IF(AND(STAT!B25&gt;0,STAT!C25="&lt;"),"&lt;","")</f>
        <v/>
      </c>
      <c r="E23" s="39" t="str">
        <f t="shared" si="1"/>
        <v/>
      </c>
      <c r="F23" s="40" t="str">
        <f t="shared" si="2"/>
        <v/>
      </c>
      <c r="G23" s="38"/>
      <c r="H23" s="43" t="str">
        <f t="shared" si="3"/>
        <v/>
      </c>
      <c r="I23" s="69" t="str">
        <f t="shared" si="4"/>
        <v/>
      </c>
      <c r="J23" s="43" t="str">
        <f t="shared" si="5"/>
        <v/>
      </c>
      <c r="K23" s="41"/>
      <c r="L23" s="43" t="str">
        <f t="shared" si="0"/>
        <v/>
      </c>
      <c r="M23" s="6"/>
      <c r="N23" s="53" t="s">
        <v>225</v>
      </c>
      <c r="O23" s="59">
        <f>AVERAGE(J10:J59)</f>
        <v>-4.8229057720937973</v>
      </c>
      <c r="P23" s="53"/>
      <c r="Q23" s="6"/>
      <c r="R23" s="5"/>
      <c r="S23" s="5"/>
      <c r="T23" s="6"/>
    </row>
    <row r="24" spans="1:20" ht="16" thickTop="1" thickBot="1" x14ac:dyDescent="0.25">
      <c r="A24" s="6">
        <v>15</v>
      </c>
      <c r="B24" s="33">
        <v>15</v>
      </c>
      <c r="C24" s="12" t="str">
        <f>IF(STAT!B26=0,"",STAT!B26)</f>
        <v/>
      </c>
      <c r="D24" s="45" t="str">
        <f>IF(AND(STAT!B26&gt;0,STAT!C26="&lt;"),"&lt;","")</f>
        <v/>
      </c>
      <c r="E24" s="39" t="str">
        <f t="shared" si="1"/>
        <v/>
      </c>
      <c r="F24" s="40" t="str">
        <f t="shared" si="2"/>
        <v/>
      </c>
      <c r="G24" s="38"/>
      <c r="H24" s="43" t="str">
        <f t="shared" si="3"/>
        <v/>
      </c>
      <c r="I24" s="69" t="str">
        <f t="shared" si="4"/>
        <v/>
      </c>
      <c r="J24" s="43" t="str">
        <f t="shared" si="5"/>
        <v/>
      </c>
      <c r="K24" s="41"/>
      <c r="L24" s="43" t="str">
        <f t="shared" si="0"/>
        <v/>
      </c>
      <c r="M24" s="6"/>
      <c r="N24" s="53" t="s">
        <v>174</v>
      </c>
      <c r="O24" s="68">
        <f>EXP(O23)</f>
        <v>8.0433809171866679E-3</v>
      </c>
      <c r="P24" s="53"/>
      <c r="Q24" s="6"/>
      <c r="R24" s="6"/>
      <c r="S24" s="6"/>
      <c r="T24" s="6"/>
    </row>
    <row r="25" spans="1:20" ht="16" thickTop="1" thickBot="1" x14ac:dyDescent="0.25">
      <c r="A25" s="6">
        <v>16</v>
      </c>
      <c r="B25" s="33">
        <v>16</v>
      </c>
      <c r="C25" s="12" t="str">
        <f>IF(STAT!B27=0,"",STAT!B27)</f>
        <v/>
      </c>
      <c r="D25" s="45" t="str">
        <f>IF(AND(STAT!B27&gt;0,STAT!C27="&lt;"),"&lt;","")</f>
        <v/>
      </c>
      <c r="E25" s="39" t="str">
        <f t="shared" si="1"/>
        <v/>
      </c>
      <c r="F25" s="40" t="str">
        <f t="shared" si="2"/>
        <v/>
      </c>
      <c r="G25" s="38"/>
      <c r="H25" s="43" t="str">
        <f t="shared" si="3"/>
        <v/>
      </c>
      <c r="I25" s="69" t="str">
        <f t="shared" si="4"/>
        <v/>
      </c>
      <c r="J25" s="43" t="str">
        <f t="shared" si="5"/>
        <v/>
      </c>
      <c r="K25" s="41"/>
      <c r="L25" s="43" t="str">
        <f t="shared" si="0"/>
        <v/>
      </c>
      <c r="M25" s="6"/>
      <c r="N25" s="53"/>
      <c r="O25" s="53"/>
      <c r="P25" s="53"/>
      <c r="Q25" s="6"/>
      <c r="R25" s="6"/>
      <c r="S25" s="6"/>
      <c r="T25" s="6"/>
    </row>
    <row r="26" spans="1:20" ht="15" thickBot="1" x14ac:dyDescent="0.25">
      <c r="A26" s="6">
        <v>17</v>
      </c>
      <c r="B26" s="33">
        <v>17</v>
      </c>
      <c r="C26" s="12" t="str">
        <f>IF(STAT!B28=0,"",STAT!B28)</f>
        <v/>
      </c>
      <c r="D26" s="45" t="str">
        <f>IF(AND(STAT!B28&gt;0,STAT!C28="&lt;"),"&lt;","")</f>
        <v/>
      </c>
      <c r="E26" s="39" t="str">
        <f t="shared" si="1"/>
        <v/>
      </c>
      <c r="F26" s="40" t="str">
        <f t="shared" si="2"/>
        <v/>
      </c>
      <c r="G26" s="38"/>
      <c r="H26" s="43" t="str">
        <f t="shared" si="3"/>
        <v/>
      </c>
      <c r="I26" s="69" t="str">
        <f t="shared" si="4"/>
        <v/>
      </c>
      <c r="J26" s="43" t="str">
        <f t="shared" si="5"/>
        <v/>
      </c>
      <c r="K26" s="41"/>
      <c r="L26" s="43" t="str">
        <f t="shared" si="0"/>
        <v/>
      </c>
      <c r="M26" s="6"/>
      <c r="N26" s="53" t="s">
        <v>233</v>
      </c>
      <c r="O26" s="53">
        <f>SQRT(2*$D$3/($D$3-1)*LN(O18/O24))</f>
        <v>0.98773160396899906</v>
      </c>
      <c r="P26" s="53"/>
      <c r="Q26" s="6"/>
      <c r="R26" s="6"/>
      <c r="S26" s="6"/>
      <c r="T26" s="6"/>
    </row>
    <row r="27" spans="1:20" ht="15" thickBot="1" x14ac:dyDescent="0.25">
      <c r="A27" s="6">
        <v>18</v>
      </c>
      <c r="B27" s="33">
        <v>18</v>
      </c>
      <c r="C27" s="12" t="str">
        <f>IF(STAT!B29=0,"",STAT!B29)</f>
        <v/>
      </c>
      <c r="D27" s="45" t="str">
        <f>IF(AND(STAT!B29&gt;0,STAT!C29="&lt;"),"&lt;","")</f>
        <v/>
      </c>
      <c r="E27" s="39" t="str">
        <f t="shared" si="1"/>
        <v/>
      </c>
      <c r="F27" s="40" t="str">
        <f t="shared" si="2"/>
        <v/>
      </c>
      <c r="G27" s="38"/>
      <c r="H27" s="43" t="str">
        <f t="shared" si="3"/>
        <v/>
      </c>
      <c r="I27" s="69" t="str">
        <f t="shared" si="4"/>
        <v/>
      </c>
      <c r="J27" s="43" t="str">
        <f t="shared" si="5"/>
        <v/>
      </c>
      <c r="K27" s="41"/>
      <c r="L27" s="43" t="str">
        <f t="shared" si="0"/>
        <v/>
      </c>
      <c r="M27" s="6"/>
      <c r="N27" s="53"/>
      <c r="O27" s="53"/>
      <c r="P27" s="53"/>
      <c r="Q27" s="6"/>
      <c r="R27" s="6"/>
      <c r="S27" s="6"/>
      <c r="T27" s="6"/>
    </row>
    <row r="28" spans="1:20" ht="16" thickTop="1" thickBot="1" x14ac:dyDescent="0.25">
      <c r="A28" s="6">
        <v>19</v>
      </c>
      <c r="B28" s="33">
        <v>19</v>
      </c>
      <c r="C28" s="12" t="str">
        <f>IF(STAT!B30=0,"",STAT!B30)</f>
        <v/>
      </c>
      <c r="D28" s="45" t="str">
        <f>IF(AND(STAT!B30&gt;0,STAT!C30="&lt;"),"&lt;","")</f>
        <v/>
      </c>
      <c r="E28" s="39" t="str">
        <f t="shared" si="1"/>
        <v/>
      </c>
      <c r="F28" s="40" t="str">
        <f t="shared" si="2"/>
        <v/>
      </c>
      <c r="G28" s="38"/>
      <c r="H28" s="43" t="str">
        <f t="shared" si="3"/>
        <v/>
      </c>
      <c r="I28" s="69" t="str">
        <f t="shared" si="4"/>
        <v/>
      </c>
      <c r="J28" s="43" t="str">
        <f t="shared" si="5"/>
        <v/>
      </c>
      <c r="K28" s="41"/>
      <c r="L28" s="43" t="str">
        <f t="shared" si="0"/>
        <v/>
      </c>
      <c r="M28" s="6"/>
      <c r="N28" s="53" t="s">
        <v>175</v>
      </c>
      <c r="O28" s="68">
        <f>EXP(O26)</f>
        <v>2.6851366055568824</v>
      </c>
      <c r="P28" s="53"/>
      <c r="Q28" s="6"/>
      <c r="R28" s="6"/>
      <c r="S28" s="6"/>
      <c r="T28" s="6"/>
    </row>
    <row r="29" spans="1:20" ht="16" thickTop="1" thickBot="1" x14ac:dyDescent="0.25">
      <c r="A29" s="6">
        <v>20</v>
      </c>
      <c r="B29" s="33">
        <v>20</v>
      </c>
      <c r="C29" s="12" t="str">
        <f>IF(STAT!B31=0,"",STAT!B31)</f>
        <v/>
      </c>
      <c r="D29" s="45" t="str">
        <f>IF(AND(STAT!B31&gt;0,STAT!C31="&lt;"),"&lt;","")</f>
        <v/>
      </c>
      <c r="E29" s="39" t="str">
        <f t="shared" si="1"/>
        <v/>
      </c>
      <c r="F29" s="40" t="str">
        <f t="shared" si="2"/>
        <v/>
      </c>
      <c r="G29" s="38"/>
      <c r="H29" s="43" t="str">
        <f t="shared" si="3"/>
        <v/>
      </c>
      <c r="I29" s="69" t="str">
        <f t="shared" si="4"/>
        <v/>
      </c>
      <c r="J29" s="43" t="str">
        <f t="shared" si="5"/>
        <v/>
      </c>
      <c r="K29" s="41"/>
      <c r="L29" s="43" t="str">
        <f t="shared" si="0"/>
        <v/>
      </c>
      <c r="M29" s="6"/>
      <c r="N29" s="53" t="s">
        <v>236</v>
      </c>
      <c r="O29" s="68">
        <f>EXP(LN(O24)-($O$7)^2/(2*$D$3)+1.645*O26)</f>
        <v>3.759996008468329E-2</v>
      </c>
      <c r="P29" s="53"/>
      <c r="Q29" s="6"/>
      <c r="R29" s="6"/>
      <c r="S29" s="6"/>
      <c r="T29" s="6"/>
    </row>
    <row r="30" spans="1:20" ht="16" thickTop="1" thickBot="1" x14ac:dyDescent="0.25">
      <c r="A30" s="6">
        <v>21</v>
      </c>
      <c r="B30" s="33">
        <v>21</v>
      </c>
      <c r="C30" s="12" t="str">
        <f>IF(STAT!B32=0,"",STAT!B32)</f>
        <v/>
      </c>
      <c r="D30" s="45" t="str">
        <f>IF(AND(STAT!B32&gt;0,STAT!C32="&lt;"),"&lt;","")</f>
        <v/>
      </c>
      <c r="E30" s="39" t="str">
        <f t="shared" si="1"/>
        <v/>
      </c>
      <c r="F30" s="40" t="str">
        <f t="shared" si="2"/>
        <v/>
      </c>
      <c r="G30" s="38"/>
      <c r="H30" s="43" t="str">
        <f t="shared" si="3"/>
        <v/>
      </c>
      <c r="I30" s="69" t="str">
        <f t="shared" si="4"/>
        <v/>
      </c>
      <c r="J30" s="43" t="str">
        <f t="shared" si="5"/>
        <v/>
      </c>
      <c r="K30" s="41"/>
      <c r="L30" s="43" t="str">
        <f t="shared" si="0"/>
        <v/>
      </c>
      <c r="M30" s="6"/>
      <c r="N30" s="53"/>
      <c r="O30" s="53"/>
      <c r="P30" s="53"/>
      <c r="Q30" s="6"/>
      <c r="R30" s="6"/>
      <c r="S30" s="6"/>
      <c r="T30" s="6"/>
    </row>
    <row r="31" spans="1:20" ht="15" thickBot="1" x14ac:dyDescent="0.25">
      <c r="A31" s="6">
        <v>22</v>
      </c>
      <c r="B31" s="33">
        <v>22</v>
      </c>
      <c r="C31" s="12" t="str">
        <f>IF(STAT!B33=0,"",STAT!B33)</f>
        <v/>
      </c>
      <c r="D31" s="45" t="str">
        <f>IF(AND(STAT!B33&gt;0,STAT!C33="&lt;"),"&lt;","")</f>
        <v/>
      </c>
      <c r="E31" s="39" t="str">
        <f t="shared" si="1"/>
        <v/>
      </c>
      <c r="F31" s="40" t="str">
        <f t="shared" si="2"/>
        <v/>
      </c>
      <c r="G31" s="38"/>
      <c r="H31" s="43" t="str">
        <f t="shared" si="3"/>
        <v/>
      </c>
      <c r="I31" s="69" t="str">
        <f t="shared" si="4"/>
        <v/>
      </c>
      <c r="J31" s="43" t="str">
        <f t="shared" si="5"/>
        <v/>
      </c>
      <c r="K31" s="41"/>
      <c r="L31" s="43" t="str">
        <f t="shared" si="0"/>
        <v/>
      </c>
      <c r="M31" s="6"/>
      <c r="N31" s="6"/>
      <c r="O31" s="6"/>
      <c r="P31" s="6"/>
      <c r="Q31" s="6"/>
      <c r="R31" s="6"/>
      <c r="S31" s="6"/>
      <c r="T31" s="6"/>
    </row>
    <row r="32" spans="1:20" ht="15" thickBot="1" x14ac:dyDescent="0.25">
      <c r="A32" s="6">
        <v>23</v>
      </c>
      <c r="B32" s="33">
        <v>23</v>
      </c>
      <c r="C32" s="12" t="str">
        <f>IF(STAT!B34=0,"",STAT!B34)</f>
        <v/>
      </c>
      <c r="D32" s="45" t="str">
        <f>IF(AND(STAT!B34&gt;0,STAT!C34="&lt;"),"&lt;","")</f>
        <v/>
      </c>
      <c r="E32" s="39" t="str">
        <f t="shared" si="1"/>
        <v/>
      </c>
      <c r="F32" s="40" t="str">
        <f t="shared" si="2"/>
        <v/>
      </c>
      <c r="G32" s="38"/>
      <c r="H32" s="43" t="str">
        <f t="shared" si="3"/>
        <v/>
      </c>
      <c r="I32" s="69" t="str">
        <f t="shared" si="4"/>
        <v/>
      </c>
      <c r="J32" s="43" t="str">
        <f t="shared" si="5"/>
        <v/>
      </c>
      <c r="K32" s="41"/>
      <c r="L32" s="43" t="str">
        <f t="shared" si="0"/>
        <v/>
      </c>
      <c r="M32" s="6"/>
      <c r="N32" s="6"/>
      <c r="O32" s="6"/>
      <c r="P32" s="6"/>
      <c r="Q32" s="6"/>
      <c r="R32" s="6"/>
      <c r="S32" s="6"/>
      <c r="T32" s="6"/>
    </row>
    <row r="33" spans="1:20" ht="15" thickBot="1" x14ac:dyDescent="0.25">
      <c r="A33" s="6">
        <v>24</v>
      </c>
      <c r="B33" s="33">
        <v>24</v>
      </c>
      <c r="C33" s="12" t="str">
        <f>IF(STAT!B35=0,"",STAT!B35)</f>
        <v/>
      </c>
      <c r="D33" s="45" t="str">
        <f>IF(AND(STAT!B35&gt;0,STAT!C35="&lt;"),"&lt;","")</f>
        <v/>
      </c>
      <c r="E33" s="39" t="str">
        <f t="shared" si="1"/>
        <v/>
      </c>
      <c r="F33" s="40" t="str">
        <f t="shared" si="2"/>
        <v/>
      </c>
      <c r="G33" s="38"/>
      <c r="H33" s="43" t="str">
        <f t="shared" si="3"/>
        <v/>
      </c>
      <c r="I33" s="69" t="str">
        <f t="shared" si="4"/>
        <v/>
      </c>
      <c r="J33" s="43" t="str">
        <f t="shared" si="5"/>
        <v/>
      </c>
      <c r="K33" s="41"/>
      <c r="L33" s="43" t="str">
        <f t="shared" si="0"/>
        <v/>
      </c>
      <c r="M33" s="6"/>
      <c r="N33" s="6"/>
      <c r="O33" s="6"/>
      <c r="P33" s="6"/>
      <c r="Q33" s="6"/>
      <c r="R33" s="6"/>
      <c r="S33" s="6"/>
      <c r="T33" s="6"/>
    </row>
    <row r="34" spans="1:20" ht="15" thickBot="1" x14ac:dyDescent="0.25">
      <c r="A34" s="6">
        <v>25</v>
      </c>
      <c r="B34" s="33">
        <v>25</v>
      </c>
      <c r="C34" s="12" t="str">
        <f>IF(STAT!B36=0,"",STAT!B36)</f>
        <v/>
      </c>
      <c r="D34" s="45" t="str">
        <f>IF(AND(STAT!B36&gt;0,STAT!C36="&lt;"),"&lt;","")</f>
        <v/>
      </c>
      <c r="E34" s="39" t="str">
        <f t="shared" si="1"/>
        <v/>
      </c>
      <c r="F34" s="40" t="str">
        <f t="shared" si="2"/>
        <v/>
      </c>
      <c r="G34" s="38"/>
      <c r="H34" s="43" t="str">
        <f t="shared" si="3"/>
        <v/>
      </c>
      <c r="I34" s="69" t="str">
        <f t="shared" si="4"/>
        <v/>
      </c>
      <c r="J34" s="43" t="str">
        <f t="shared" si="5"/>
        <v/>
      </c>
      <c r="K34" s="41"/>
      <c r="L34" s="43" t="str">
        <f t="shared" si="0"/>
        <v/>
      </c>
      <c r="M34" s="6"/>
      <c r="N34" s="6"/>
      <c r="O34" s="6"/>
      <c r="P34" s="6"/>
      <c r="Q34" s="6"/>
      <c r="R34" s="6"/>
      <c r="S34" s="6"/>
      <c r="T34" s="6"/>
    </row>
    <row r="35" spans="1:20" ht="15" thickBot="1" x14ac:dyDescent="0.25">
      <c r="A35" s="6">
        <v>26</v>
      </c>
      <c r="B35" s="33">
        <v>26</v>
      </c>
      <c r="C35" s="12" t="str">
        <f>IF(STAT!B37=0,"",STAT!B37)</f>
        <v/>
      </c>
      <c r="D35" s="45" t="str">
        <f>IF(AND(STAT!B37&gt;0,STAT!C37="&lt;"),"&lt;","")</f>
        <v/>
      </c>
      <c r="E35" s="39" t="str">
        <f t="shared" si="1"/>
        <v/>
      </c>
      <c r="F35" s="40" t="str">
        <f t="shared" si="2"/>
        <v/>
      </c>
      <c r="G35" s="38"/>
      <c r="H35" s="43" t="str">
        <f t="shared" si="3"/>
        <v/>
      </c>
      <c r="I35" s="69" t="str">
        <f t="shared" si="4"/>
        <v/>
      </c>
      <c r="J35" s="43" t="str">
        <f t="shared" si="5"/>
        <v/>
      </c>
      <c r="K35" s="41"/>
      <c r="L35" s="43" t="str">
        <f t="shared" si="0"/>
        <v/>
      </c>
      <c r="M35" s="6"/>
      <c r="N35" s="6"/>
      <c r="O35" s="6"/>
      <c r="P35" s="6"/>
      <c r="Q35" s="6"/>
      <c r="R35" s="6"/>
      <c r="S35" s="6"/>
      <c r="T35" s="6"/>
    </row>
    <row r="36" spans="1:20" ht="15" thickBot="1" x14ac:dyDescent="0.25">
      <c r="A36" s="6">
        <v>27</v>
      </c>
      <c r="B36" s="33">
        <v>27</v>
      </c>
      <c r="C36" s="12" t="str">
        <f>IF(STAT!B38=0,"",STAT!B38)</f>
        <v/>
      </c>
      <c r="D36" s="45" t="str">
        <f>IF(AND(STAT!B38&gt;0,STAT!C38="&lt;"),"&lt;","")</f>
        <v/>
      </c>
      <c r="E36" s="39" t="str">
        <f t="shared" si="1"/>
        <v/>
      </c>
      <c r="F36" s="40" t="str">
        <f t="shared" si="2"/>
        <v/>
      </c>
      <c r="G36" s="38"/>
      <c r="H36" s="43" t="str">
        <f t="shared" si="3"/>
        <v/>
      </c>
      <c r="I36" s="69" t="str">
        <f t="shared" si="4"/>
        <v/>
      </c>
      <c r="J36" s="43" t="str">
        <f t="shared" si="5"/>
        <v/>
      </c>
      <c r="K36" s="41"/>
      <c r="L36" s="43" t="str">
        <f t="shared" si="0"/>
        <v/>
      </c>
      <c r="M36" s="6"/>
      <c r="N36" s="6"/>
      <c r="O36" s="6"/>
      <c r="P36" s="6"/>
      <c r="Q36" s="6"/>
      <c r="R36" s="6"/>
      <c r="S36" s="6"/>
      <c r="T36" s="6"/>
    </row>
    <row r="37" spans="1:20" ht="15" thickBot="1" x14ac:dyDescent="0.25">
      <c r="A37" s="6">
        <v>28</v>
      </c>
      <c r="B37" s="33">
        <v>28</v>
      </c>
      <c r="C37" s="12" t="str">
        <f>IF(STAT!B39=0,"",STAT!B39)</f>
        <v/>
      </c>
      <c r="D37" s="45" t="str">
        <f>IF(AND(STAT!B39&gt;0,STAT!C39="&lt;"),"&lt;","")</f>
        <v/>
      </c>
      <c r="E37" s="39" t="str">
        <f t="shared" si="1"/>
        <v/>
      </c>
      <c r="F37" s="40" t="str">
        <f t="shared" si="2"/>
        <v/>
      </c>
      <c r="G37" s="38"/>
      <c r="H37" s="43" t="str">
        <f t="shared" si="3"/>
        <v/>
      </c>
      <c r="I37" s="69" t="str">
        <f t="shared" si="4"/>
        <v/>
      </c>
      <c r="J37" s="43" t="str">
        <f t="shared" si="5"/>
        <v/>
      </c>
      <c r="K37" s="41"/>
      <c r="L37" s="43" t="str">
        <f t="shared" si="0"/>
        <v/>
      </c>
      <c r="M37" s="6"/>
      <c r="N37" s="6"/>
      <c r="O37" s="6"/>
      <c r="P37" s="6"/>
      <c r="Q37" s="6"/>
      <c r="R37" s="6"/>
      <c r="S37" s="6"/>
      <c r="T37" s="6"/>
    </row>
    <row r="38" spans="1:20" ht="15" thickBot="1" x14ac:dyDescent="0.25">
      <c r="A38" s="6">
        <v>29</v>
      </c>
      <c r="B38" s="33">
        <v>29</v>
      </c>
      <c r="C38" s="12" t="str">
        <f>IF(STAT!B40=0,"",STAT!B40)</f>
        <v/>
      </c>
      <c r="D38" s="45" t="str">
        <f>IF(AND(STAT!B40&gt;0,STAT!C40="&lt;"),"&lt;","")</f>
        <v/>
      </c>
      <c r="E38" s="39" t="str">
        <f t="shared" si="1"/>
        <v/>
      </c>
      <c r="F38" s="40" t="str">
        <f t="shared" si="2"/>
        <v/>
      </c>
      <c r="G38" s="38"/>
      <c r="H38" s="43" t="str">
        <f t="shared" si="3"/>
        <v/>
      </c>
      <c r="I38" s="69" t="str">
        <f t="shared" si="4"/>
        <v/>
      </c>
      <c r="J38" s="43" t="str">
        <f t="shared" si="5"/>
        <v/>
      </c>
      <c r="K38" s="41"/>
      <c r="L38" s="43" t="str">
        <f t="shared" si="0"/>
        <v/>
      </c>
      <c r="M38" s="6"/>
      <c r="N38" s="6"/>
      <c r="O38" s="6"/>
      <c r="P38" s="6"/>
      <c r="Q38" s="6"/>
      <c r="R38" s="6"/>
      <c r="S38" s="6"/>
      <c r="T38" s="6"/>
    </row>
    <row r="39" spans="1:20" ht="15" thickBot="1" x14ac:dyDescent="0.25">
      <c r="A39" s="6">
        <v>30</v>
      </c>
      <c r="B39" s="33">
        <v>30</v>
      </c>
      <c r="C39" s="12" t="str">
        <f>IF(STAT!B41=0,"",STAT!B41)</f>
        <v/>
      </c>
      <c r="D39" s="45" t="str">
        <f>IF(AND(STAT!B41&gt;0,STAT!C41="&lt;"),"&lt;","")</f>
        <v/>
      </c>
      <c r="E39" s="39" t="str">
        <f t="shared" si="1"/>
        <v/>
      </c>
      <c r="F39" s="40" t="str">
        <f t="shared" si="2"/>
        <v/>
      </c>
      <c r="G39" s="38"/>
      <c r="H39" s="43" t="str">
        <f t="shared" si="3"/>
        <v/>
      </c>
      <c r="I39" s="69" t="str">
        <f t="shared" si="4"/>
        <v/>
      </c>
      <c r="J39" s="43" t="str">
        <f t="shared" si="5"/>
        <v/>
      </c>
      <c r="K39" s="41"/>
      <c r="L39" s="43" t="str">
        <f t="shared" si="0"/>
        <v/>
      </c>
      <c r="M39" s="6"/>
      <c r="N39" s="6"/>
      <c r="O39" s="6"/>
      <c r="P39" s="6"/>
      <c r="Q39" s="6"/>
      <c r="R39" s="6"/>
      <c r="S39" s="6"/>
      <c r="T39" s="6"/>
    </row>
    <row r="40" spans="1:20" ht="15" thickBot="1" x14ac:dyDescent="0.25">
      <c r="A40" s="6">
        <v>31</v>
      </c>
      <c r="B40" s="33">
        <v>31</v>
      </c>
      <c r="C40" s="12" t="str">
        <f>IF(STAT!B42=0,"",STAT!B42)</f>
        <v/>
      </c>
      <c r="D40" s="45" t="str">
        <f>IF(AND(STAT!B42&gt;0,STAT!C42="&lt;"),"&lt;","")</f>
        <v/>
      </c>
      <c r="E40" s="39" t="str">
        <f t="shared" si="1"/>
        <v/>
      </c>
      <c r="F40" s="40" t="str">
        <f t="shared" si="2"/>
        <v/>
      </c>
      <c r="G40" s="38"/>
      <c r="H40" s="43" t="str">
        <f t="shared" si="3"/>
        <v/>
      </c>
      <c r="I40" s="69" t="str">
        <f t="shared" si="4"/>
        <v/>
      </c>
      <c r="J40" s="43" t="str">
        <f t="shared" si="5"/>
        <v/>
      </c>
      <c r="K40" s="41"/>
      <c r="L40" s="43" t="str">
        <f t="shared" si="0"/>
        <v/>
      </c>
      <c r="M40" s="6"/>
      <c r="N40" s="6"/>
      <c r="O40" s="6"/>
      <c r="P40" s="6"/>
      <c r="Q40" s="6"/>
      <c r="R40" s="6"/>
      <c r="S40" s="6"/>
      <c r="T40" s="6"/>
    </row>
    <row r="41" spans="1:20" ht="15" thickBot="1" x14ac:dyDescent="0.25">
      <c r="A41" s="6">
        <v>32</v>
      </c>
      <c r="B41" s="33">
        <v>32</v>
      </c>
      <c r="C41" s="12" t="str">
        <f>IF(STAT!B43=0,"",STAT!B43)</f>
        <v/>
      </c>
      <c r="D41" s="45" t="str">
        <f>IF(AND(STAT!B43&gt;0,STAT!C43="&lt;"),"&lt;","")</f>
        <v/>
      </c>
      <c r="E41" s="39" t="str">
        <f t="shared" si="1"/>
        <v/>
      </c>
      <c r="F41" s="40" t="str">
        <f t="shared" si="2"/>
        <v/>
      </c>
      <c r="G41" s="38"/>
      <c r="H41" s="43" t="str">
        <f t="shared" si="3"/>
        <v/>
      </c>
      <c r="I41" s="69" t="str">
        <f t="shared" si="4"/>
        <v/>
      </c>
      <c r="J41" s="43" t="str">
        <f t="shared" si="5"/>
        <v/>
      </c>
      <c r="K41" s="41"/>
      <c r="L41" s="43" t="str">
        <f t="shared" si="0"/>
        <v/>
      </c>
      <c r="M41" s="6"/>
      <c r="N41" s="6"/>
      <c r="O41" s="6"/>
      <c r="P41" s="6"/>
      <c r="Q41" s="6"/>
      <c r="R41" s="6"/>
      <c r="S41" s="6"/>
      <c r="T41" s="6"/>
    </row>
    <row r="42" spans="1:20" ht="15" thickBot="1" x14ac:dyDescent="0.25">
      <c r="A42" s="6">
        <v>33</v>
      </c>
      <c r="B42" s="33">
        <v>33</v>
      </c>
      <c r="C42" s="12" t="str">
        <f>IF(STAT!B44=0,"",STAT!B44)</f>
        <v/>
      </c>
      <c r="D42" s="45" t="str">
        <f>IF(AND(STAT!B44&gt;0,STAT!C44="&lt;"),"&lt;","")</f>
        <v/>
      </c>
      <c r="E42" s="39" t="str">
        <f t="shared" si="1"/>
        <v/>
      </c>
      <c r="F42" s="40" t="str">
        <f t="shared" si="2"/>
        <v/>
      </c>
      <c r="G42" s="38"/>
      <c r="H42" s="43" t="str">
        <f t="shared" ref="H42:H59" si="6">IF(C42="","",IF(D42="&lt;",$N$13*C42,C42))</f>
        <v/>
      </c>
      <c r="I42" s="69" t="str">
        <f t="shared" si="4"/>
        <v/>
      </c>
      <c r="J42" s="43" t="str">
        <f t="shared" si="5"/>
        <v/>
      </c>
      <c r="K42" s="41"/>
      <c r="L42" s="43" t="str">
        <f t="shared" ref="L42:L59" si="7">IF(C42="","",IF(D42="&lt;",$R$13*C42,C42))</f>
        <v/>
      </c>
      <c r="M42" s="6"/>
      <c r="N42" s="6"/>
      <c r="O42" s="6"/>
      <c r="P42" s="6"/>
      <c r="Q42" s="6"/>
      <c r="R42" s="6"/>
      <c r="S42" s="6"/>
      <c r="T42" s="6"/>
    </row>
    <row r="43" spans="1:20" ht="15" thickBot="1" x14ac:dyDescent="0.25">
      <c r="A43" s="6">
        <v>34</v>
      </c>
      <c r="B43" s="33">
        <v>34</v>
      </c>
      <c r="C43" s="12" t="str">
        <f>IF(STAT!B45=0,"",STAT!B45)</f>
        <v/>
      </c>
      <c r="D43" s="45" t="str">
        <f>IF(AND(STAT!B45&gt;0,STAT!C45="&lt;"),"&lt;","")</f>
        <v/>
      </c>
      <c r="E43" s="39" t="str">
        <f t="shared" si="1"/>
        <v/>
      </c>
      <c r="F43" s="40" t="str">
        <f t="shared" si="2"/>
        <v/>
      </c>
      <c r="G43" s="38"/>
      <c r="H43" s="43" t="str">
        <f t="shared" si="6"/>
        <v/>
      </c>
      <c r="I43" s="69" t="str">
        <f t="shared" si="4"/>
        <v/>
      </c>
      <c r="J43" s="43" t="str">
        <f t="shared" si="5"/>
        <v/>
      </c>
      <c r="K43" s="41"/>
      <c r="L43" s="43" t="str">
        <f t="shared" si="7"/>
        <v/>
      </c>
      <c r="M43" s="6"/>
      <c r="N43" s="6"/>
      <c r="O43" s="6"/>
      <c r="P43" s="6"/>
      <c r="Q43" s="6"/>
      <c r="R43" s="6"/>
      <c r="S43" s="6"/>
      <c r="T43" s="6"/>
    </row>
    <row r="44" spans="1:20" ht="15" thickBot="1" x14ac:dyDescent="0.25">
      <c r="A44" s="6">
        <v>35</v>
      </c>
      <c r="B44" s="33">
        <v>35</v>
      </c>
      <c r="C44" s="12" t="str">
        <f>IF(STAT!B46=0,"",STAT!B46)</f>
        <v/>
      </c>
      <c r="D44" s="45" t="str">
        <f>IF(AND(STAT!B46&gt;0,STAT!C46="&lt;"),"&lt;","")</f>
        <v/>
      </c>
      <c r="E44" s="39" t="str">
        <f t="shared" si="1"/>
        <v/>
      </c>
      <c r="F44" s="40" t="str">
        <f t="shared" si="2"/>
        <v/>
      </c>
      <c r="G44" s="38"/>
      <c r="H44" s="43" t="str">
        <f t="shared" si="6"/>
        <v/>
      </c>
      <c r="I44" s="69" t="str">
        <f t="shared" si="4"/>
        <v/>
      </c>
      <c r="J44" s="43" t="str">
        <f t="shared" si="5"/>
        <v/>
      </c>
      <c r="K44" s="41"/>
      <c r="L44" s="43" t="str">
        <f t="shared" si="7"/>
        <v/>
      </c>
      <c r="M44" s="6"/>
      <c r="N44" s="6"/>
      <c r="O44" s="6"/>
      <c r="P44" s="6"/>
      <c r="Q44" s="6"/>
      <c r="R44" s="6"/>
      <c r="S44" s="6"/>
      <c r="T44" s="6"/>
    </row>
    <row r="45" spans="1:20" ht="15" thickBot="1" x14ac:dyDescent="0.25">
      <c r="A45" s="6">
        <v>36</v>
      </c>
      <c r="B45" s="33">
        <v>36</v>
      </c>
      <c r="C45" s="12" t="str">
        <f>IF(STAT!B47=0,"",STAT!B47)</f>
        <v/>
      </c>
      <c r="D45" s="45" t="str">
        <f>IF(AND(STAT!B47&gt;0,STAT!C47="&lt;"),"&lt;","")</f>
        <v/>
      </c>
      <c r="E45" s="39" t="str">
        <f t="shared" si="1"/>
        <v/>
      </c>
      <c r="F45" s="40" t="str">
        <f t="shared" si="2"/>
        <v/>
      </c>
      <c r="G45" s="38"/>
      <c r="H45" s="43" t="str">
        <f t="shared" si="6"/>
        <v/>
      </c>
      <c r="I45" s="69" t="str">
        <f t="shared" si="4"/>
        <v/>
      </c>
      <c r="J45" s="43" t="str">
        <f t="shared" si="5"/>
        <v/>
      </c>
      <c r="K45" s="41"/>
      <c r="L45" s="43" t="str">
        <f t="shared" si="7"/>
        <v/>
      </c>
      <c r="M45" s="6"/>
      <c r="N45" s="6"/>
      <c r="O45" s="6"/>
      <c r="P45" s="6"/>
      <c r="Q45" s="6"/>
      <c r="R45" s="6"/>
      <c r="S45" s="6"/>
      <c r="T45" s="6"/>
    </row>
    <row r="46" spans="1:20" ht="15" thickBot="1" x14ac:dyDescent="0.25">
      <c r="A46" s="6">
        <v>37</v>
      </c>
      <c r="B46" s="33">
        <v>37</v>
      </c>
      <c r="C46" s="12" t="str">
        <f>IF(STAT!B48=0,"",STAT!B48)</f>
        <v/>
      </c>
      <c r="D46" s="45" t="str">
        <f>IF(AND(STAT!B48&gt;0,STAT!C48="&lt;"),"&lt;","")</f>
        <v/>
      </c>
      <c r="E46" s="39" t="str">
        <f t="shared" si="1"/>
        <v/>
      </c>
      <c r="F46" s="40" t="str">
        <f t="shared" si="2"/>
        <v/>
      </c>
      <c r="G46" s="38"/>
      <c r="H46" s="43" t="str">
        <f t="shared" si="6"/>
        <v/>
      </c>
      <c r="I46" s="69" t="str">
        <f t="shared" si="4"/>
        <v/>
      </c>
      <c r="J46" s="43" t="str">
        <f t="shared" si="5"/>
        <v/>
      </c>
      <c r="K46" s="41"/>
      <c r="L46" s="43" t="str">
        <f t="shared" si="7"/>
        <v/>
      </c>
      <c r="M46" s="6"/>
      <c r="N46" s="6"/>
      <c r="O46" s="6"/>
      <c r="P46" s="6"/>
      <c r="Q46" s="6"/>
      <c r="R46" s="6"/>
      <c r="S46" s="6"/>
      <c r="T46" s="6"/>
    </row>
    <row r="47" spans="1:20" ht="15" thickBot="1" x14ac:dyDescent="0.25">
      <c r="A47" s="6">
        <v>38</v>
      </c>
      <c r="B47" s="33">
        <v>38</v>
      </c>
      <c r="C47" s="12" t="str">
        <f>IF(STAT!B49=0,"",STAT!B49)</f>
        <v/>
      </c>
      <c r="D47" s="45" t="str">
        <f>IF(AND(STAT!B49&gt;0,STAT!C49="&lt;"),"&lt;","")</f>
        <v/>
      </c>
      <c r="E47" s="39" t="str">
        <f t="shared" si="1"/>
        <v/>
      </c>
      <c r="F47" s="40" t="str">
        <f t="shared" si="2"/>
        <v/>
      </c>
      <c r="G47" s="38"/>
      <c r="H47" s="43" t="str">
        <f t="shared" si="6"/>
        <v/>
      </c>
      <c r="I47" s="69" t="str">
        <f t="shared" si="4"/>
        <v/>
      </c>
      <c r="J47" s="43" t="str">
        <f t="shared" si="5"/>
        <v/>
      </c>
      <c r="K47" s="41"/>
      <c r="L47" s="43" t="str">
        <f t="shared" si="7"/>
        <v/>
      </c>
      <c r="M47" s="6"/>
      <c r="N47" s="6"/>
      <c r="O47" s="6"/>
      <c r="P47" s="6"/>
      <c r="Q47" s="6"/>
      <c r="R47" s="6"/>
      <c r="S47" s="6"/>
      <c r="T47" s="6"/>
    </row>
    <row r="48" spans="1:20" ht="15" thickBot="1" x14ac:dyDescent="0.25">
      <c r="A48" s="6">
        <v>39</v>
      </c>
      <c r="B48" s="33">
        <v>39</v>
      </c>
      <c r="C48" s="12" t="str">
        <f>IF(STAT!B50=0,"",STAT!B50)</f>
        <v/>
      </c>
      <c r="D48" s="45" t="str">
        <f>IF(AND(STAT!B50&gt;0,STAT!C50="&lt;"),"&lt;","")</f>
        <v/>
      </c>
      <c r="E48" s="39" t="str">
        <f t="shared" si="1"/>
        <v/>
      </c>
      <c r="F48" s="40" t="str">
        <f t="shared" si="2"/>
        <v/>
      </c>
      <c r="G48" s="38"/>
      <c r="H48" s="43" t="str">
        <f t="shared" si="6"/>
        <v/>
      </c>
      <c r="I48" s="69" t="str">
        <f t="shared" si="4"/>
        <v/>
      </c>
      <c r="J48" s="43" t="str">
        <f t="shared" si="5"/>
        <v/>
      </c>
      <c r="K48" s="41"/>
      <c r="L48" s="43" t="str">
        <f t="shared" si="7"/>
        <v/>
      </c>
      <c r="M48" s="6"/>
      <c r="N48" s="6"/>
      <c r="O48" s="6"/>
      <c r="P48" s="6"/>
      <c r="Q48" s="6"/>
      <c r="R48" s="6"/>
      <c r="S48" s="6"/>
      <c r="T48" s="6"/>
    </row>
    <row r="49" spans="1:20" ht="15" thickBot="1" x14ac:dyDescent="0.25">
      <c r="A49" s="6">
        <v>40</v>
      </c>
      <c r="B49" s="33">
        <v>40</v>
      </c>
      <c r="C49" s="12" t="str">
        <f>IF(STAT!B51=0,"",STAT!B51)</f>
        <v/>
      </c>
      <c r="D49" s="45" t="str">
        <f>IF(AND(STAT!B51&gt;0,STAT!C51="&lt;"),"&lt;","")</f>
        <v/>
      </c>
      <c r="E49" s="39" t="str">
        <f t="shared" si="1"/>
        <v/>
      </c>
      <c r="F49" s="40" t="str">
        <f t="shared" si="2"/>
        <v/>
      </c>
      <c r="G49" s="38"/>
      <c r="H49" s="43" t="str">
        <f t="shared" si="6"/>
        <v/>
      </c>
      <c r="I49" s="69" t="str">
        <f t="shared" si="4"/>
        <v/>
      </c>
      <c r="J49" s="43" t="str">
        <f t="shared" si="5"/>
        <v/>
      </c>
      <c r="K49" s="41"/>
      <c r="L49" s="43" t="str">
        <f t="shared" si="7"/>
        <v/>
      </c>
      <c r="M49" s="6"/>
      <c r="N49" s="6"/>
      <c r="O49" s="6"/>
      <c r="P49" s="6"/>
      <c r="Q49" s="6"/>
      <c r="R49" s="6"/>
      <c r="S49" s="6"/>
      <c r="T49" s="6"/>
    </row>
    <row r="50" spans="1:20" ht="15" thickBot="1" x14ac:dyDescent="0.25">
      <c r="A50" s="6">
        <v>41</v>
      </c>
      <c r="B50" s="33">
        <v>41</v>
      </c>
      <c r="C50" s="12" t="str">
        <f>IF(STAT!B52=0,"",STAT!B52)</f>
        <v/>
      </c>
      <c r="D50" s="45" t="str">
        <f>IF(AND(STAT!B52&gt;0,STAT!C52="&lt;"),"&lt;","")</f>
        <v/>
      </c>
      <c r="E50" s="39" t="str">
        <f t="shared" si="1"/>
        <v/>
      </c>
      <c r="F50" s="40" t="str">
        <f t="shared" si="2"/>
        <v/>
      </c>
      <c r="G50" s="38"/>
      <c r="H50" s="43" t="str">
        <f t="shared" si="6"/>
        <v/>
      </c>
      <c r="I50" s="69" t="str">
        <f t="shared" si="4"/>
        <v/>
      </c>
      <c r="J50" s="43" t="str">
        <f t="shared" si="5"/>
        <v/>
      </c>
      <c r="K50" s="41"/>
      <c r="L50" s="43" t="str">
        <f t="shared" si="7"/>
        <v/>
      </c>
      <c r="M50" s="6"/>
      <c r="N50" s="6"/>
      <c r="O50" s="6"/>
      <c r="P50" s="6"/>
      <c r="Q50" s="6"/>
      <c r="R50" s="6"/>
      <c r="S50" s="6"/>
      <c r="T50" s="6"/>
    </row>
    <row r="51" spans="1:20" ht="15" thickBot="1" x14ac:dyDescent="0.25">
      <c r="A51" s="6">
        <v>42</v>
      </c>
      <c r="B51" s="33">
        <v>42</v>
      </c>
      <c r="C51" s="12" t="str">
        <f>IF(STAT!B53=0,"",STAT!B53)</f>
        <v/>
      </c>
      <c r="D51" s="45" t="str">
        <f>IF(AND(STAT!B53&gt;0,STAT!C53="&lt;"),"&lt;","")</f>
        <v/>
      </c>
      <c r="E51" s="39" t="str">
        <f t="shared" si="1"/>
        <v/>
      </c>
      <c r="F51" s="40" t="str">
        <f t="shared" si="2"/>
        <v/>
      </c>
      <c r="G51" s="38"/>
      <c r="H51" s="43" t="str">
        <f t="shared" si="6"/>
        <v/>
      </c>
      <c r="I51" s="69" t="str">
        <f t="shared" si="4"/>
        <v/>
      </c>
      <c r="J51" s="43" t="str">
        <f t="shared" si="5"/>
        <v/>
      </c>
      <c r="K51" s="41"/>
      <c r="L51" s="43" t="str">
        <f t="shared" si="7"/>
        <v/>
      </c>
      <c r="M51" s="6"/>
      <c r="N51" s="6"/>
      <c r="O51" s="6"/>
      <c r="P51" s="6"/>
      <c r="Q51" s="6"/>
      <c r="R51" s="6"/>
      <c r="S51" s="6"/>
      <c r="T51" s="6"/>
    </row>
    <row r="52" spans="1:20" ht="15" thickBot="1" x14ac:dyDescent="0.25">
      <c r="A52" s="6">
        <v>43</v>
      </c>
      <c r="B52" s="33">
        <v>43</v>
      </c>
      <c r="C52" s="12" t="str">
        <f>IF(STAT!B54=0,"",STAT!B54)</f>
        <v/>
      </c>
      <c r="D52" s="45" t="str">
        <f>IF(AND(STAT!B54&gt;0,STAT!C54="&lt;"),"&lt;","")</f>
        <v/>
      </c>
      <c r="E52" s="39" t="str">
        <f t="shared" si="1"/>
        <v/>
      </c>
      <c r="F52" s="40" t="str">
        <f t="shared" si="2"/>
        <v/>
      </c>
      <c r="G52" s="38"/>
      <c r="H52" s="43" t="str">
        <f t="shared" si="6"/>
        <v/>
      </c>
      <c r="I52" s="69" t="str">
        <f t="shared" si="4"/>
        <v/>
      </c>
      <c r="J52" s="43" t="str">
        <f t="shared" ref="J52:J59" si="8">IF(C52="","",LN(I52))</f>
        <v/>
      </c>
      <c r="K52" s="41"/>
      <c r="L52" s="43" t="str">
        <f t="shared" si="7"/>
        <v/>
      </c>
      <c r="M52" s="6"/>
      <c r="N52" s="6"/>
      <c r="O52" s="6"/>
      <c r="P52" s="6"/>
      <c r="Q52" s="6"/>
      <c r="R52" s="6"/>
      <c r="S52" s="6"/>
      <c r="T52" s="6"/>
    </row>
    <row r="53" spans="1:20" ht="15" thickBot="1" x14ac:dyDescent="0.25">
      <c r="A53" s="6">
        <v>44</v>
      </c>
      <c r="B53" s="33">
        <v>44</v>
      </c>
      <c r="C53" s="12" t="str">
        <f>IF(STAT!B55=0,"",STAT!B55)</f>
        <v/>
      </c>
      <c r="D53" s="45" t="str">
        <f>IF(AND(STAT!B55&gt;0,STAT!C55="&lt;"),"&lt;","")</f>
        <v/>
      </c>
      <c r="E53" s="39" t="str">
        <f t="shared" si="1"/>
        <v/>
      </c>
      <c r="F53" s="40" t="str">
        <f t="shared" si="2"/>
        <v/>
      </c>
      <c r="G53" s="38"/>
      <c r="H53" s="43" t="str">
        <f t="shared" si="6"/>
        <v/>
      </c>
      <c r="I53" s="69" t="str">
        <f t="shared" si="4"/>
        <v/>
      </c>
      <c r="J53" s="43" t="str">
        <f t="shared" si="8"/>
        <v/>
      </c>
      <c r="K53" s="41"/>
      <c r="L53" s="43" t="str">
        <f t="shared" si="7"/>
        <v/>
      </c>
      <c r="M53" s="6"/>
      <c r="N53" s="6"/>
      <c r="O53" s="6"/>
      <c r="P53" s="6"/>
      <c r="Q53" s="6"/>
      <c r="R53" s="6"/>
      <c r="S53" s="6"/>
      <c r="T53" s="6"/>
    </row>
    <row r="54" spans="1:20" ht="15" thickBot="1" x14ac:dyDescent="0.25">
      <c r="A54" s="6">
        <v>45</v>
      </c>
      <c r="B54" s="33">
        <v>45</v>
      </c>
      <c r="C54" s="12" t="str">
        <f>IF(STAT!B56=0,"",STAT!B56)</f>
        <v/>
      </c>
      <c r="D54" s="45" t="str">
        <f>IF(AND(STAT!B56&gt;0,STAT!C56="&lt;"),"&lt;","")</f>
        <v/>
      </c>
      <c r="E54" s="39" t="str">
        <f t="shared" si="1"/>
        <v/>
      </c>
      <c r="F54" s="40" t="str">
        <f t="shared" si="2"/>
        <v/>
      </c>
      <c r="G54" s="38"/>
      <c r="H54" s="43" t="str">
        <f t="shared" si="6"/>
        <v/>
      </c>
      <c r="I54" s="69" t="str">
        <f t="shared" si="4"/>
        <v/>
      </c>
      <c r="J54" s="43" t="str">
        <f t="shared" si="8"/>
        <v/>
      </c>
      <c r="K54" s="41"/>
      <c r="L54" s="43" t="str">
        <f t="shared" si="7"/>
        <v/>
      </c>
      <c r="M54" s="6"/>
      <c r="N54" s="6"/>
      <c r="O54" s="6"/>
      <c r="P54" s="6"/>
      <c r="Q54" s="6"/>
      <c r="R54" s="6"/>
      <c r="S54" s="6"/>
      <c r="T54" s="6"/>
    </row>
    <row r="55" spans="1:20" ht="15" thickBot="1" x14ac:dyDescent="0.25">
      <c r="A55" s="6">
        <v>46</v>
      </c>
      <c r="B55" s="33">
        <v>46</v>
      </c>
      <c r="C55" s="12" t="str">
        <f>IF(STAT!B57=0,"",STAT!B57)</f>
        <v/>
      </c>
      <c r="D55" s="45" t="str">
        <f>IF(AND(STAT!B57&gt;0,STAT!C57="&lt;"),"&lt;","")</f>
        <v/>
      </c>
      <c r="E55" s="39" t="str">
        <f t="shared" ref="E55:E57" si="9">IF(OR(C55="",D55="&lt;"),"",LN(C55))</f>
        <v/>
      </c>
      <c r="F55" s="40" t="str">
        <f t="shared" ref="F55:F57" si="10">IF(OR(C55="",D55="&lt;"),"",(C55))</f>
        <v/>
      </c>
      <c r="G55" s="38"/>
      <c r="H55" s="43" t="str">
        <f t="shared" si="6"/>
        <v/>
      </c>
      <c r="I55" s="69" t="str">
        <f t="shared" si="4"/>
        <v/>
      </c>
      <c r="J55" s="43" t="str">
        <f t="shared" si="8"/>
        <v/>
      </c>
      <c r="K55" s="41"/>
      <c r="L55" s="43" t="str">
        <f t="shared" si="7"/>
        <v/>
      </c>
      <c r="M55" s="6"/>
      <c r="N55" s="6"/>
      <c r="O55" s="6"/>
      <c r="P55" s="6"/>
      <c r="Q55" s="6"/>
      <c r="R55" s="6"/>
      <c r="S55" s="6"/>
      <c r="T55" s="6"/>
    </row>
    <row r="56" spans="1:20" ht="15" thickBot="1" x14ac:dyDescent="0.25">
      <c r="A56" s="6">
        <v>47</v>
      </c>
      <c r="B56" s="33">
        <v>47</v>
      </c>
      <c r="C56" s="12" t="str">
        <f>IF(STAT!B58=0,"",STAT!B58)</f>
        <v/>
      </c>
      <c r="D56" s="45" t="str">
        <f>IF(AND(STAT!B58&gt;0,STAT!C58="&lt;"),"&lt;","")</f>
        <v/>
      </c>
      <c r="E56" s="39" t="str">
        <f t="shared" si="9"/>
        <v/>
      </c>
      <c r="F56" s="40" t="str">
        <f t="shared" si="10"/>
        <v/>
      </c>
      <c r="G56" s="38"/>
      <c r="H56" s="43" t="str">
        <f t="shared" si="6"/>
        <v/>
      </c>
      <c r="I56" s="69" t="str">
        <f t="shared" si="4"/>
        <v/>
      </c>
      <c r="J56" s="43" t="str">
        <f t="shared" si="8"/>
        <v/>
      </c>
      <c r="K56" s="41"/>
      <c r="L56" s="43" t="str">
        <f t="shared" si="7"/>
        <v/>
      </c>
      <c r="M56" s="6"/>
      <c r="N56" s="6"/>
      <c r="O56" s="6"/>
      <c r="P56" s="6"/>
      <c r="Q56" s="6"/>
      <c r="R56" s="6"/>
      <c r="S56" s="6"/>
      <c r="T56" s="6"/>
    </row>
    <row r="57" spans="1:20" ht="15" thickBot="1" x14ac:dyDescent="0.25">
      <c r="A57" s="6">
        <v>48</v>
      </c>
      <c r="B57" s="33">
        <v>48</v>
      </c>
      <c r="C57" s="12" t="str">
        <f>IF(STAT!B59=0,"",STAT!B59)</f>
        <v/>
      </c>
      <c r="D57" s="45" t="str">
        <f>IF(AND(STAT!B59&gt;0,STAT!C59="&lt;"),"&lt;","")</f>
        <v/>
      </c>
      <c r="E57" s="39" t="str">
        <f t="shared" si="9"/>
        <v/>
      </c>
      <c r="F57" s="40" t="str">
        <f t="shared" si="10"/>
        <v/>
      </c>
      <c r="G57" s="38"/>
      <c r="H57" s="43" t="str">
        <f t="shared" si="6"/>
        <v/>
      </c>
      <c r="I57" s="69" t="str">
        <f t="shared" si="4"/>
        <v/>
      </c>
      <c r="J57" s="43" t="str">
        <f t="shared" si="8"/>
        <v/>
      </c>
      <c r="K57" s="41"/>
      <c r="L57" s="43" t="str">
        <f t="shared" si="7"/>
        <v/>
      </c>
      <c r="M57" s="6"/>
      <c r="N57" s="6"/>
      <c r="O57" s="6"/>
      <c r="P57" s="6"/>
      <c r="Q57" s="6"/>
      <c r="R57" s="6"/>
      <c r="S57" s="6"/>
      <c r="T57" s="6"/>
    </row>
    <row r="58" spans="1:20" x14ac:dyDescent="0.2">
      <c r="A58" s="6">
        <v>49</v>
      </c>
      <c r="B58" s="33">
        <v>49</v>
      </c>
      <c r="C58" s="71" t="str">
        <f>IF(STAT!B60=0,"",STAT!B60)</f>
        <v/>
      </c>
      <c r="D58" s="45" t="str">
        <f>IF(AND(STAT!B60&gt;0,STAT!C60="&lt;"),"&lt;","")</f>
        <v/>
      </c>
      <c r="E58" s="40" t="str">
        <f t="shared" ref="E58:E59" si="11">IF(OR(C58="",D58="&lt;"),"",LN(C58))</f>
        <v/>
      </c>
      <c r="F58" s="40" t="str">
        <f t="shared" ref="F58:F59" si="12">IF(OR(C58="",D58="&lt;"),"",(C58))</f>
        <v/>
      </c>
      <c r="G58" s="38"/>
      <c r="H58" s="43" t="str">
        <f t="shared" si="6"/>
        <v/>
      </c>
      <c r="I58" s="69" t="str">
        <f t="shared" si="4"/>
        <v/>
      </c>
      <c r="J58" s="43" t="str">
        <f t="shared" si="8"/>
        <v/>
      </c>
      <c r="K58" s="41"/>
      <c r="L58" s="43" t="str">
        <f t="shared" si="7"/>
        <v/>
      </c>
      <c r="M58" s="6"/>
      <c r="N58" s="6"/>
      <c r="O58" s="6"/>
      <c r="P58" s="6"/>
      <c r="Q58" s="6"/>
      <c r="R58" s="6"/>
      <c r="S58" s="6"/>
      <c r="T58" s="6"/>
    </row>
    <row r="59" spans="1:20" x14ac:dyDescent="0.2">
      <c r="A59" s="6">
        <v>50</v>
      </c>
      <c r="B59" s="72">
        <v>50</v>
      </c>
      <c r="C59" s="73" t="str">
        <f>IF(STAT!B61=0,"",STAT!B61)</f>
        <v/>
      </c>
      <c r="D59" s="45" t="str">
        <f>IF(AND(STAT!B61&gt;0,STAT!C61="&lt;"),"&lt;","")</f>
        <v/>
      </c>
      <c r="E59" s="74" t="str">
        <f t="shared" si="11"/>
        <v/>
      </c>
      <c r="F59" s="74" t="str">
        <f t="shared" si="12"/>
        <v/>
      </c>
      <c r="G59" s="38"/>
      <c r="H59" s="75" t="str">
        <f t="shared" si="6"/>
        <v/>
      </c>
      <c r="I59" s="69" t="str">
        <f t="shared" si="4"/>
        <v/>
      </c>
      <c r="J59" s="75" t="str">
        <f t="shared" si="8"/>
        <v/>
      </c>
      <c r="K59" s="41"/>
      <c r="L59" s="75" t="str">
        <f t="shared" si="7"/>
        <v/>
      </c>
      <c r="M59" s="6"/>
      <c r="N59" s="6"/>
      <c r="O59" s="6"/>
      <c r="P59" s="6"/>
      <c r="Q59" s="6"/>
      <c r="R59" s="6"/>
      <c r="S59" s="6"/>
      <c r="T59" s="6"/>
    </row>
    <row r="60" spans="1:20" x14ac:dyDescent="0.2">
      <c r="A60" s="6"/>
      <c r="B60" s="6"/>
      <c r="C60" s="6"/>
      <c r="D60" s="6"/>
      <c r="E60" s="6"/>
      <c r="F60" s="6"/>
      <c r="G60" s="6"/>
      <c r="H60" s="6"/>
      <c r="I60" s="6"/>
      <c r="J60" s="6"/>
      <c r="K60" s="6"/>
      <c r="L60" s="6"/>
      <c r="M60" s="6"/>
      <c r="N60" s="6"/>
      <c r="O60" s="6"/>
      <c r="P60" s="6"/>
      <c r="Q60" s="6"/>
      <c r="R60" s="6"/>
      <c r="S60" s="6"/>
      <c r="T60" s="6"/>
    </row>
    <row r="61" spans="1:20" x14ac:dyDescent="0.2">
      <c r="A61" s="6"/>
      <c r="B61" s="7"/>
      <c r="C61" s="6"/>
      <c r="D61" s="6"/>
      <c r="E61" s="6"/>
      <c r="F61" s="6"/>
      <c r="G61" s="6"/>
      <c r="H61" s="6"/>
      <c r="I61" s="6"/>
      <c r="J61" s="6"/>
      <c r="K61" s="6"/>
      <c r="L61" s="6"/>
      <c r="M61" s="6"/>
      <c r="N61" s="6"/>
      <c r="O61" s="6"/>
      <c r="P61" s="6"/>
      <c r="Q61" s="6"/>
      <c r="R61" s="6"/>
      <c r="S61" s="6"/>
      <c r="T61" s="6"/>
    </row>
    <row r="62" spans="1:20" x14ac:dyDescent="0.2">
      <c r="A62" s="6"/>
      <c r="B62" s="7"/>
      <c r="C62" s="6"/>
      <c r="D62" s="6"/>
      <c r="E62" s="6"/>
      <c r="F62" s="6"/>
      <c r="G62" s="6"/>
      <c r="H62" s="6"/>
      <c r="I62" s="6"/>
      <c r="J62" s="6"/>
      <c r="K62" s="6"/>
      <c r="L62" s="6"/>
      <c r="M62" s="6"/>
      <c r="N62" s="6"/>
      <c r="O62" s="6"/>
      <c r="P62" s="6"/>
      <c r="Q62" s="6"/>
      <c r="R62" s="6"/>
      <c r="S62" s="6"/>
      <c r="T62" s="6"/>
    </row>
    <row r="63" spans="1:20" x14ac:dyDescent="0.2">
      <c r="A63" s="6"/>
      <c r="B63" s="7"/>
      <c r="C63" s="6"/>
      <c r="D63" s="6"/>
      <c r="E63" s="6"/>
      <c r="F63" s="6"/>
      <c r="G63" s="6"/>
      <c r="H63" s="6"/>
      <c r="I63" s="6"/>
      <c r="J63" s="6"/>
      <c r="K63" s="6"/>
      <c r="L63" s="6"/>
      <c r="M63" s="6"/>
      <c r="N63" s="6"/>
      <c r="O63" s="6"/>
      <c r="P63" s="6"/>
      <c r="Q63" s="6"/>
      <c r="R63" s="6"/>
      <c r="S63" s="6"/>
      <c r="T63" s="6"/>
    </row>
    <row r="64" spans="1:20" x14ac:dyDescent="0.2">
      <c r="A64" s="6"/>
      <c r="B64" s="7"/>
      <c r="C64" s="6"/>
      <c r="D64" s="6"/>
      <c r="E64" s="6"/>
      <c r="F64" s="6"/>
      <c r="G64" s="6"/>
      <c r="H64" s="6"/>
      <c r="I64" s="6"/>
      <c r="J64" s="6"/>
      <c r="K64" s="6"/>
      <c r="L64" s="6"/>
      <c r="M64" s="6"/>
      <c r="N64" s="6"/>
      <c r="O64" s="6"/>
      <c r="P64" s="6"/>
      <c r="Q64" s="6"/>
      <c r="R64" s="6"/>
      <c r="S64" s="6"/>
      <c r="T64" s="6"/>
    </row>
    <row r="65" spans="1:20" x14ac:dyDescent="0.2">
      <c r="A65" s="6"/>
      <c r="B65" s="7"/>
      <c r="C65" s="6"/>
      <c r="D65" s="6"/>
      <c r="E65" s="6"/>
      <c r="F65" s="6"/>
      <c r="G65" s="6"/>
      <c r="H65" s="6"/>
      <c r="I65" s="6"/>
      <c r="J65" s="6"/>
      <c r="K65" s="6"/>
      <c r="L65" s="6"/>
      <c r="M65" s="6"/>
      <c r="N65" s="6"/>
      <c r="O65" s="6"/>
      <c r="P65" s="6"/>
      <c r="Q65" s="6"/>
      <c r="R65" s="6"/>
      <c r="S65" s="6"/>
      <c r="T65" s="6"/>
    </row>
    <row r="66" spans="1:20" x14ac:dyDescent="0.2">
      <c r="A66" s="6"/>
      <c r="B66" s="7"/>
      <c r="C66" s="6"/>
      <c r="D66" s="6"/>
      <c r="E66" s="6"/>
      <c r="F66" s="6"/>
      <c r="G66" s="6"/>
      <c r="H66" s="6"/>
      <c r="I66" s="6"/>
      <c r="J66" s="6"/>
      <c r="K66" s="6"/>
      <c r="L66" s="6"/>
      <c r="M66" s="6"/>
      <c r="N66" s="6"/>
      <c r="O66" s="6"/>
      <c r="P66" s="6"/>
      <c r="Q66" s="6"/>
      <c r="R66" s="6"/>
      <c r="S66" s="6"/>
      <c r="T66" s="6"/>
    </row>
    <row r="67" spans="1:20" x14ac:dyDescent="0.2">
      <c r="A67" s="6"/>
      <c r="B67" s="7"/>
      <c r="C67" s="6"/>
      <c r="D67" s="6"/>
      <c r="E67" s="6"/>
      <c r="F67" s="6"/>
      <c r="G67" s="6"/>
      <c r="H67" s="6"/>
      <c r="I67" s="6"/>
      <c r="J67" s="6"/>
      <c r="K67" s="6"/>
      <c r="L67" s="6"/>
      <c r="M67" s="6"/>
      <c r="N67" s="6"/>
      <c r="O67" s="6"/>
      <c r="P67" s="6"/>
      <c r="Q67" s="6"/>
      <c r="R67" s="6"/>
      <c r="S67" s="6"/>
      <c r="T67" s="6"/>
    </row>
    <row r="68" spans="1:20" x14ac:dyDescent="0.2">
      <c r="A68" s="6"/>
      <c r="B68" s="7"/>
      <c r="C68" s="6"/>
      <c r="D68" s="6"/>
      <c r="E68" s="6"/>
      <c r="F68" s="6"/>
      <c r="G68" s="6"/>
      <c r="H68" s="6"/>
      <c r="I68" s="6"/>
      <c r="J68" s="6"/>
      <c r="K68" s="6"/>
      <c r="L68" s="6"/>
      <c r="M68" s="6"/>
      <c r="N68" s="6"/>
      <c r="O68" s="6"/>
      <c r="P68" s="6"/>
      <c r="Q68" s="6"/>
      <c r="R68" s="6"/>
      <c r="S68" s="6"/>
      <c r="T68" s="6"/>
    </row>
    <row r="69" spans="1:20" x14ac:dyDescent="0.2">
      <c r="B69"/>
    </row>
    <row r="70" spans="1:20" x14ac:dyDescent="0.2">
      <c r="B70"/>
    </row>
    <row r="71" spans="1:20" x14ac:dyDescent="0.2">
      <c r="B71"/>
    </row>
    <row r="72" spans="1:20" x14ac:dyDescent="0.2">
      <c r="B72"/>
    </row>
    <row r="73" spans="1:20" x14ac:dyDescent="0.2">
      <c r="B73"/>
    </row>
    <row r="74" spans="1:20" x14ac:dyDescent="0.2">
      <c r="B74"/>
    </row>
    <row r="75" spans="1:20" x14ac:dyDescent="0.2">
      <c r="B75"/>
    </row>
    <row r="76" spans="1:20" x14ac:dyDescent="0.2">
      <c r="B76"/>
    </row>
    <row r="77" spans="1:20" x14ac:dyDescent="0.2">
      <c r="B77"/>
    </row>
    <row r="78" spans="1:20" x14ac:dyDescent="0.2">
      <c r="B78"/>
    </row>
    <row r="79" spans="1:20" x14ac:dyDescent="0.2">
      <c r="B79"/>
    </row>
    <row r="80" spans="1:20" x14ac:dyDescent="0.2">
      <c r="B80"/>
    </row>
    <row r="81" spans="2:2" x14ac:dyDescent="0.2">
      <c r="B81"/>
    </row>
    <row r="82" spans="2:2" x14ac:dyDescent="0.2">
      <c r="B82"/>
    </row>
    <row r="83" spans="2:2" x14ac:dyDescent="0.2">
      <c r="B83"/>
    </row>
    <row r="84" spans="2:2" x14ac:dyDescent="0.2">
      <c r="B84"/>
    </row>
    <row r="85" spans="2:2" x14ac:dyDescent="0.2">
      <c r="B85"/>
    </row>
    <row r="86" spans="2:2" x14ac:dyDescent="0.2">
      <c r="B86"/>
    </row>
    <row r="87" spans="2:2" x14ac:dyDescent="0.2">
      <c r="B87"/>
    </row>
    <row r="88" spans="2:2" x14ac:dyDescent="0.2">
      <c r="B88"/>
    </row>
    <row r="89" spans="2:2" x14ac:dyDescent="0.2">
      <c r="B89"/>
    </row>
    <row r="90" spans="2:2" x14ac:dyDescent="0.2">
      <c r="B90"/>
    </row>
    <row r="91" spans="2:2" x14ac:dyDescent="0.2">
      <c r="B91"/>
    </row>
    <row r="92" spans="2:2" x14ac:dyDescent="0.2">
      <c r="B92"/>
    </row>
    <row r="93" spans="2:2" x14ac:dyDescent="0.2">
      <c r="B93"/>
    </row>
    <row r="94" spans="2:2" x14ac:dyDescent="0.2">
      <c r="B94"/>
    </row>
    <row r="95" spans="2:2" x14ac:dyDescent="0.2">
      <c r="B95"/>
    </row>
    <row r="96" spans="2:2" x14ac:dyDescent="0.2">
      <c r="B96"/>
    </row>
    <row r="97" spans="2:2" x14ac:dyDescent="0.2">
      <c r="B97"/>
    </row>
    <row r="98" spans="2:2" x14ac:dyDescent="0.2">
      <c r="B98"/>
    </row>
    <row r="99" spans="2:2" x14ac:dyDescent="0.2">
      <c r="B99"/>
    </row>
    <row r="100" spans="2:2" x14ac:dyDescent="0.2">
      <c r="B100"/>
    </row>
    <row r="101" spans="2:2" x14ac:dyDescent="0.2">
      <c r="B101"/>
    </row>
    <row r="102" spans="2:2" x14ac:dyDescent="0.2">
      <c r="B102"/>
    </row>
    <row r="103" spans="2:2" x14ac:dyDescent="0.2">
      <c r="B103"/>
    </row>
    <row r="104" spans="2:2" x14ac:dyDescent="0.2">
      <c r="B104"/>
    </row>
    <row r="105" spans="2:2" x14ac:dyDescent="0.2">
      <c r="B105"/>
    </row>
    <row r="106" spans="2:2" x14ac:dyDescent="0.2">
      <c r="B106"/>
    </row>
    <row r="107" spans="2:2" x14ac:dyDescent="0.2">
      <c r="B107"/>
    </row>
    <row r="108" spans="2:2" x14ac:dyDescent="0.2">
      <c r="B108"/>
    </row>
    <row r="109" spans="2:2" x14ac:dyDescent="0.2">
      <c r="B109"/>
    </row>
    <row r="110" spans="2:2" x14ac:dyDescent="0.2">
      <c r="B110"/>
    </row>
    <row r="111" spans="2:2" x14ac:dyDescent="0.2">
      <c r="B111"/>
    </row>
    <row r="112" spans="2:2" x14ac:dyDescent="0.2">
      <c r="B112"/>
    </row>
    <row r="113" spans="2:2" x14ac:dyDescent="0.2">
      <c r="B113"/>
    </row>
    <row r="114" spans="2:2" x14ac:dyDescent="0.2">
      <c r="B114"/>
    </row>
    <row r="115" spans="2:2" x14ac:dyDescent="0.2">
      <c r="B115"/>
    </row>
    <row r="116" spans="2:2" x14ac:dyDescent="0.2">
      <c r="B116"/>
    </row>
    <row r="117" spans="2:2" x14ac:dyDescent="0.2">
      <c r="B117"/>
    </row>
    <row r="118" spans="2:2" x14ac:dyDescent="0.2">
      <c r="B118"/>
    </row>
    <row r="119" spans="2:2" x14ac:dyDescent="0.2">
      <c r="B119"/>
    </row>
    <row r="120" spans="2:2" x14ac:dyDescent="0.2">
      <c r="B120"/>
    </row>
    <row r="121" spans="2:2" x14ac:dyDescent="0.2">
      <c r="B121"/>
    </row>
    <row r="122" spans="2:2" x14ac:dyDescent="0.2">
      <c r="B122"/>
    </row>
    <row r="123" spans="2:2" x14ac:dyDescent="0.2">
      <c r="B123"/>
    </row>
    <row r="124" spans="2:2" x14ac:dyDescent="0.2">
      <c r="B124"/>
    </row>
    <row r="125" spans="2:2" x14ac:dyDescent="0.2">
      <c r="B125"/>
    </row>
    <row r="126" spans="2:2" x14ac:dyDescent="0.2">
      <c r="B126"/>
    </row>
    <row r="127" spans="2:2" x14ac:dyDescent="0.2">
      <c r="B127"/>
    </row>
    <row r="128" spans="2:2" x14ac:dyDescent="0.2">
      <c r="B128"/>
    </row>
    <row r="129" spans="2:2" x14ac:dyDescent="0.2">
      <c r="B129"/>
    </row>
    <row r="130" spans="2:2" x14ac:dyDescent="0.2">
      <c r="B130"/>
    </row>
    <row r="131" spans="2:2" x14ac:dyDescent="0.2">
      <c r="B131"/>
    </row>
    <row r="132" spans="2:2" x14ac:dyDescent="0.2">
      <c r="B132"/>
    </row>
    <row r="133" spans="2:2" x14ac:dyDescent="0.2">
      <c r="B133"/>
    </row>
    <row r="134" spans="2:2" x14ac:dyDescent="0.2">
      <c r="B134"/>
    </row>
    <row r="135" spans="2:2" x14ac:dyDescent="0.2">
      <c r="B135"/>
    </row>
    <row r="136" spans="2:2" x14ac:dyDescent="0.2">
      <c r="B136"/>
    </row>
    <row r="137" spans="2:2" x14ac:dyDescent="0.2">
      <c r="B137"/>
    </row>
    <row r="138" spans="2:2" x14ac:dyDescent="0.2">
      <c r="B138"/>
    </row>
    <row r="139" spans="2:2" x14ac:dyDescent="0.2">
      <c r="B139"/>
    </row>
    <row r="140" spans="2:2" x14ac:dyDescent="0.2">
      <c r="B140"/>
    </row>
    <row r="141" spans="2:2" x14ac:dyDescent="0.2">
      <c r="B141"/>
    </row>
    <row r="142" spans="2:2" x14ac:dyDescent="0.2">
      <c r="B142"/>
    </row>
    <row r="143" spans="2:2" x14ac:dyDescent="0.2">
      <c r="B143"/>
    </row>
    <row r="144" spans="2:2" x14ac:dyDescent="0.2">
      <c r="B144"/>
    </row>
    <row r="145" spans="2:2" x14ac:dyDescent="0.2">
      <c r="B145"/>
    </row>
    <row r="146" spans="2:2" x14ac:dyDescent="0.2">
      <c r="B146"/>
    </row>
    <row r="147" spans="2:2" x14ac:dyDescent="0.2">
      <c r="B147"/>
    </row>
    <row r="148" spans="2:2" x14ac:dyDescent="0.2">
      <c r="B148"/>
    </row>
    <row r="149" spans="2:2" x14ac:dyDescent="0.2">
      <c r="B149"/>
    </row>
    <row r="150" spans="2:2" x14ac:dyDescent="0.2">
      <c r="B150"/>
    </row>
    <row r="151" spans="2:2" x14ac:dyDescent="0.2">
      <c r="B151"/>
    </row>
    <row r="152" spans="2:2" x14ac:dyDescent="0.2">
      <c r="B152"/>
    </row>
    <row r="153" spans="2:2" x14ac:dyDescent="0.2">
      <c r="B153"/>
    </row>
    <row r="154" spans="2:2" x14ac:dyDescent="0.2">
      <c r="B154"/>
    </row>
    <row r="155" spans="2:2" x14ac:dyDescent="0.2">
      <c r="B155"/>
    </row>
    <row r="156" spans="2:2" x14ac:dyDescent="0.2">
      <c r="B156"/>
    </row>
    <row r="157" spans="2:2" x14ac:dyDescent="0.2">
      <c r="B157"/>
    </row>
    <row r="158" spans="2:2" x14ac:dyDescent="0.2">
      <c r="B158"/>
    </row>
    <row r="159" spans="2:2" x14ac:dyDescent="0.2">
      <c r="B159"/>
    </row>
    <row r="160" spans="2:2" x14ac:dyDescent="0.2">
      <c r="B160"/>
    </row>
    <row r="161" spans="2:2" x14ac:dyDescent="0.2">
      <c r="B161"/>
    </row>
    <row r="162" spans="2:2" x14ac:dyDescent="0.2">
      <c r="B162"/>
    </row>
    <row r="163" spans="2:2" x14ac:dyDescent="0.2">
      <c r="B163"/>
    </row>
    <row r="164" spans="2:2" x14ac:dyDescent="0.2">
      <c r="B164"/>
    </row>
    <row r="165" spans="2:2" x14ac:dyDescent="0.2">
      <c r="B165"/>
    </row>
    <row r="166" spans="2:2" x14ac:dyDescent="0.2">
      <c r="B166"/>
    </row>
    <row r="167" spans="2:2" x14ac:dyDescent="0.2">
      <c r="B167"/>
    </row>
    <row r="168" spans="2:2" x14ac:dyDescent="0.2">
      <c r="B168"/>
    </row>
    <row r="169" spans="2:2" x14ac:dyDescent="0.2">
      <c r="B169"/>
    </row>
    <row r="170" spans="2:2" x14ac:dyDescent="0.2">
      <c r="B170"/>
    </row>
    <row r="171" spans="2:2" x14ac:dyDescent="0.2">
      <c r="B171"/>
    </row>
    <row r="172" spans="2:2" x14ac:dyDescent="0.2">
      <c r="B172"/>
    </row>
    <row r="173" spans="2:2" x14ac:dyDescent="0.2">
      <c r="B173"/>
    </row>
    <row r="174" spans="2:2" x14ac:dyDescent="0.2">
      <c r="B174"/>
    </row>
    <row r="175" spans="2:2" x14ac:dyDescent="0.2">
      <c r="B175"/>
    </row>
    <row r="176" spans="2:2" x14ac:dyDescent="0.2">
      <c r="B176"/>
    </row>
    <row r="177" spans="2:2" x14ac:dyDescent="0.2">
      <c r="B177"/>
    </row>
    <row r="178" spans="2:2" x14ac:dyDescent="0.2">
      <c r="B178"/>
    </row>
    <row r="179" spans="2:2" x14ac:dyDescent="0.2">
      <c r="B179"/>
    </row>
    <row r="180" spans="2:2" x14ac:dyDescent="0.2">
      <c r="B180"/>
    </row>
    <row r="181" spans="2:2" x14ac:dyDescent="0.2">
      <c r="B181"/>
    </row>
    <row r="182" spans="2:2" x14ac:dyDescent="0.2">
      <c r="B182"/>
    </row>
    <row r="183" spans="2:2" x14ac:dyDescent="0.2">
      <c r="B183"/>
    </row>
    <row r="184" spans="2:2" x14ac:dyDescent="0.2">
      <c r="B184"/>
    </row>
    <row r="185" spans="2:2" x14ac:dyDescent="0.2">
      <c r="B185"/>
    </row>
    <row r="186" spans="2:2" x14ac:dyDescent="0.2">
      <c r="B186"/>
    </row>
    <row r="187" spans="2:2" x14ac:dyDescent="0.2">
      <c r="B187"/>
    </row>
    <row r="188" spans="2:2" x14ac:dyDescent="0.2">
      <c r="B188"/>
    </row>
    <row r="189" spans="2:2" x14ac:dyDescent="0.2">
      <c r="B189"/>
    </row>
    <row r="190" spans="2:2" x14ac:dyDescent="0.2">
      <c r="B190"/>
    </row>
    <row r="191" spans="2:2" x14ac:dyDescent="0.2">
      <c r="B191"/>
    </row>
    <row r="192" spans="2:2" x14ac:dyDescent="0.2">
      <c r="B192"/>
    </row>
    <row r="193" spans="2:2" x14ac:dyDescent="0.2">
      <c r="B193"/>
    </row>
    <row r="194" spans="2:2" x14ac:dyDescent="0.2">
      <c r="B194"/>
    </row>
    <row r="195" spans="2:2" x14ac:dyDescent="0.2">
      <c r="B195"/>
    </row>
    <row r="196" spans="2:2" x14ac:dyDescent="0.2">
      <c r="B196"/>
    </row>
    <row r="197" spans="2:2" x14ac:dyDescent="0.2">
      <c r="B197"/>
    </row>
    <row r="198" spans="2:2" x14ac:dyDescent="0.2">
      <c r="B198"/>
    </row>
    <row r="199" spans="2:2" x14ac:dyDescent="0.2">
      <c r="B199"/>
    </row>
    <row r="200" spans="2:2" x14ac:dyDescent="0.2">
      <c r="B200"/>
    </row>
    <row r="201" spans="2:2" x14ac:dyDescent="0.2">
      <c r="B201"/>
    </row>
    <row r="202" spans="2:2" x14ac:dyDescent="0.2">
      <c r="B202"/>
    </row>
    <row r="203" spans="2:2" x14ac:dyDescent="0.2">
      <c r="B203"/>
    </row>
    <row r="204" spans="2:2" x14ac:dyDescent="0.2">
      <c r="B204"/>
    </row>
    <row r="205" spans="2:2" x14ac:dyDescent="0.2">
      <c r="B205"/>
    </row>
    <row r="206" spans="2:2" x14ac:dyDescent="0.2">
      <c r="B206"/>
    </row>
    <row r="207" spans="2:2" x14ac:dyDescent="0.2">
      <c r="B207"/>
    </row>
    <row r="208" spans="2:2" x14ac:dyDescent="0.2">
      <c r="B208"/>
    </row>
    <row r="209" spans="2:2" x14ac:dyDescent="0.2">
      <c r="B209"/>
    </row>
    <row r="210" spans="2:2" x14ac:dyDescent="0.2">
      <c r="B210"/>
    </row>
    <row r="211" spans="2:2" x14ac:dyDescent="0.2">
      <c r="B211"/>
    </row>
    <row r="212" spans="2:2" x14ac:dyDescent="0.2">
      <c r="B212"/>
    </row>
    <row r="213" spans="2:2" x14ac:dyDescent="0.2">
      <c r="B213"/>
    </row>
    <row r="214" spans="2:2" x14ac:dyDescent="0.2">
      <c r="B214"/>
    </row>
    <row r="215" spans="2:2" x14ac:dyDescent="0.2">
      <c r="B215"/>
    </row>
    <row r="216" spans="2:2" x14ac:dyDescent="0.2">
      <c r="B216"/>
    </row>
    <row r="217" spans="2:2" x14ac:dyDescent="0.2">
      <c r="B217"/>
    </row>
    <row r="218" spans="2:2" x14ac:dyDescent="0.2">
      <c r="B218"/>
    </row>
    <row r="219" spans="2:2" x14ac:dyDescent="0.2">
      <c r="B219"/>
    </row>
    <row r="220" spans="2:2" x14ac:dyDescent="0.2">
      <c r="B220"/>
    </row>
    <row r="221" spans="2:2" x14ac:dyDescent="0.2">
      <c r="B221"/>
    </row>
    <row r="222" spans="2:2" x14ac:dyDescent="0.2">
      <c r="B222"/>
    </row>
    <row r="223" spans="2:2" x14ac:dyDescent="0.2">
      <c r="B223"/>
    </row>
    <row r="224" spans="2:2" x14ac:dyDescent="0.2">
      <c r="B224"/>
    </row>
    <row r="225" spans="2:2" x14ac:dyDescent="0.2">
      <c r="B225"/>
    </row>
    <row r="226" spans="2:2" x14ac:dyDescent="0.2">
      <c r="B226"/>
    </row>
    <row r="227" spans="2:2" x14ac:dyDescent="0.2">
      <c r="B227"/>
    </row>
    <row r="228" spans="2:2" x14ac:dyDescent="0.2">
      <c r="B228"/>
    </row>
    <row r="229" spans="2:2" x14ac:dyDescent="0.2">
      <c r="B229"/>
    </row>
    <row r="230" spans="2:2" x14ac:dyDescent="0.2">
      <c r="B230"/>
    </row>
    <row r="231" spans="2:2" x14ac:dyDescent="0.2">
      <c r="B231"/>
    </row>
    <row r="232" spans="2:2" x14ac:dyDescent="0.2">
      <c r="B232"/>
    </row>
    <row r="233" spans="2:2" x14ac:dyDescent="0.2">
      <c r="B233"/>
    </row>
    <row r="234" spans="2:2" x14ac:dyDescent="0.2">
      <c r="B234"/>
    </row>
    <row r="235" spans="2:2" x14ac:dyDescent="0.2">
      <c r="B235"/>
    </row>
    <row r="236" spans="2:2" x14ac:dyDescent="0.2">
      <c r="B236"/>
    </row>
    <row r="237" spans="2:2" x14ac:dyDescent="0.2">
      <c r="B237"/>
    </row>
    <row r="238" spans="2:2" x14ac:dyDescent="0.2">
      <c r="B238"/>
    </row>
    <row r="239" spans="2:2" x14ac:dyDescent="0.2">
      <c r="B239"/>
    </row>
    <row r="240" spans="2:2" x14ac:dyDescent="0.2">
      <c r="B240"/>
    </row>
    <row r="241" spans="2:2" x14ac:dyDescent="0.2">
      <c r="B241"/>
    </row>
    <row r="242" spans="2:2" x14ac:dyDescent="0.2">
      <c r="B242"/>
    </row>
    <row r="243" spans="2:2" x14ac:dyDescent="0.2">
      <c r="B243"/>
    </row>
    <row r="244" spans="2:2" x14ac:dyDescent="0.2">
      <c r="B244"/>
    </row>
    <row r="245" spans="2:2" x14ac:dyDescent="0.2">
      <c r="B245"/>
    </row>
    <row r="246" spans="2:2" x14ac:dyDescent="0.2">
      <c r="B246"/>
    </row>
    <row r="247" spans="2:2" x14ac:dyDescent="0.2">
      <c r="B247"/>
    </row>
    <row r="248" spans="2:2" x14ac:dyDescent="0.2">
      <c r="B248"/>
    </row>
    <row r="249" spans="2:2" x14ac:dyDescent="0.2">
      <c r="B249"/>
    </row>
    <row r="250" spans="2:2" x14ac:dyDescent="0.2">
      <c r="B250"/>
    </row>
    <row r="251" spans="2:2" x14ac:dyDescent="0.2">
      <c r="B251"/>
    </row>
    <row r="252" spans="2:2" x14ac:dyDescent="0.2">
      <c r="B252"/>
    </row>
    <row r="253" spans="2:2" x14ac:dyDescent="0.2">
      <c r="B253"/>
    </row>
    <row r="254" spans="2:2" x14ac:dyDescent="0.2">
      <c r="B254"/>
    </row>
    <row r="255" spans="2:2" x14ac:dyDescent="0.2">
      <c r="B255"/>
    </row>
    <row r="256" spans="2:2" x14ac:dyDescent="0.2">
      <c r="B256"/>
    </row>
    <row r="257" spans="2:2" x14ac:dyDescent="0.2">
      <c r="B257"/>
    </row>
    <row r="258" spans="2:2" x14ac:dyDescent="0.2">
      <c r="B258"/>
    </row>
    <row r="259" spans="2:2" x14ac:dyDescent="0.2">
      <c r="B259"/>
    </row>
    <row r="260" spans="2:2" x14ac:dyDescent="0.2">
      <c r="B260"/>
    </row>
    <row r="261" spans="2:2" x14ac:dyDescent="0.2">
      <c r="B261"/>
    </row>
    <row r="262" spans="2:2" x14ac:dyDescent="0.2">
      <c r="B262"/>
    </row>
    <row r="263" spans="2:2" x14ac:dyDescent="0.2">
      <c r="B263"/>
    </row>
    <row r="264" spans="2:2" x14ac:dyDescent="0.2">
      <c r="B264"/>
    </row>
    <row r="265" spans="2:2" x14ac:dyDescent="0.2">
      <c r="B265"/>
    </row>
    <row r="266" spans="2:2" x14ac:dyDescent="0.2">
      <c r="B266"/>
    </row>
    <row r="267" spans="2:2" x14ac:dyDescent="0.2">
      <c r="B267"/>
    </row>
    <row r="268" spans="2:2" x14ac:dyDescent="0.2">
      <c r="B268"/>
    </row>
    <row r="269" spans="2:2" x14ac:dyDescent="0.2">
      <c r="B269"/>
    </row>
    <row r="270" spans="2:2" x14ac:dyDescent="0.2">
      <c r="B270"/>
    </row>
    <row r="271" spans="2:2" x14ac:dyDescent="0.2">
      <c r="B271"/>
    </row>
    <row r="272" spans="2:2" x14ac:dyDescent="0.2">
      <c r="B272"/>
    </row>
    <row r="273" spans="2:2" x14ac:dyDescent="0.2">
      <c r="B273"/>
    </row>
    <row r="274" spans="2:2" x14ac:dyDescent="0.2">
      <c r="B274"/>
    </row>
    <row r="275" spans="2:2" x14ac:dyDescent="0.2">
      <c r="B275"/>
    </row>
    <row r="276" spans="2:2" x14ac:dyDescent="0.2">
      <c r="B276"/>
    </row>
    <row r="277" spans="2:2" x14ac:dyDescent="0.2">
      <c r="B277"/>
    </row>
    <row r="278" spans="2:2" x14ac:dyDescent="0.2">
      <c r="B278"/>
    </row>
    <row r="279" spans="2:2" x14ac:dyDescent="0.2">
      <c r="B279"/>
    </row>
    <row r="280" spans="2:2" x14ac:dyDescent="0.2">
      <c r="B280"/>
    </row>
    <row r="281" spans="2:2" x14ac:dyDescent="0.2">
      <c r="B281"/>
    </row>
    <row r="282" spans="2:2" x14ac:dyDescent="0.2">
      <c r="B282"/>
    </row>
    <row r="283" spans="2:2" x14ac:dyDescent="0.2">
      <c r="B283"/>
    </row>
    <row r="284" spans="2:2" x14ac:dyDescent="0.2">
      <c r="B284"/>
    </row>
    <row r="285" spans="2:2" x14ac:dyDescent="0.2">
      <c r="B285"/>
    </row>
    <row r="286" spans="2:2" x14ac:dyDescent="0.2">
      <c r="B286"/>
    </row>
    <row r="287" spans="2:2" x14ac:dyDescent="0.2">
      <c r="B287"/>
    </row>
    <row r="288" spans="2:2" x14ac:dyDescent="0.2">
      <c r="B288"/>
    </row>
    <row r="289" spans="2:2" x14ac:dyDescent="0.2">
      <c r="B289"/>
    </row>
    <row r="290" spans="2:2" x14ac:dyDescent="0.2">
      <c r="B290"/>
    </row>
    <row r="291" spans="2:2" x14ac:dyDescent="0.2">
      <c r="B291"/>
    </row>
    <row r="292" spans="2:2" x14ac:dyDescent="0.2">
      <c r="B292"/>
    </row>
    <row r="293" spans="2:2" x14ac:dyDescent="0.2">
      <c r="B293"/>
    </row>
    <row r="294" spans="2:2" x14ac:dyDescent="0.2">
      <c r="B294"/>
    </row>
    <row r="295" spans="2:2" x14ac:dyDescent="0.2">
      <c r="B295"/>
    </row>
    <row r="296" spans="2:2" x14ac:dyDescent="0.2">
      <c r="B296"/>
    </row>
    <row r="297" spans="2:2" x14ac:dyDescent="0.2">
      <c r="B297"/>
    </row>
    <row r="298" spans="2:2" x14ac:dyDescent="0.2">
      <c r="B298"/>
    </row>
    <row r="299" spans="2:2" x14ac:dyDescent="0.2">
      <c r="B299"/>
    </row>
    <row r="300" spans="2:2" x14ac:dyDescent="0.2">
      <c r="B300"/>
    </row>
    <row r="301" spans="2:2" x14ac:dyDescent="0.2">
      <c r="B301"/>
    </row>
    <row r="302" spans="2:2" x14ac:dyDescent="0.2">
      <c r="B302"/>
    </row>
    <row r="303" spans="2:2" x14ac:dyDescent="0.2">
      <c r="B303"/>
    </row>
    <row r="304" spans="2:2" x14ac:dyDescent="0.2">
      <c r="B304"/>
    </row>
    <row r="305" spans="2:2" x14ac:dyDescent="0.2">
      <c r="B305"/>
    </row>
    <row r="306" spans="2:2" x14ac:dyDescent="0.2">
      <c r="B306"/>
    </row>
    <row r="307" spans="2:2" x14ac:dyDescent="0.2">
      <c r="B307"/>
    </row>
    <row r="308" spans="2:2" x14ac:dyDescent="0.2">
      <c r="B308"/>
    </row>
    <row r="309" spans="2:2" x14ac:dyDescent="0.2">
      <c r="B309"/>
    </row>
    <row r="310" spans="2:2" x14ac:dyDescent="0.2">
      <c r="B310"/>
    </row>
    <row r="311" spans="2:2" x14ac:dyDescent="0.2">
      <c r="B311"/>
    </row>
    <row r="312" spans="2:2" x14ac:dyDescent="0.2">
      <c r="B312"/>
    </row>
    <row r="313" spans="2:2" x14ac:dyDescent="0.2">
      <c r="B313"/>
    </row>
    <row r="314" spans="2:2" x14ac:dyDescent="0.2">
      <c r="B314"/>
    </row>
    <row r="315" spans="2:2" x14ac:dyDescent="0.2">
      <c r="B315"/>
    </row>
    <row r="316" spans="2:2" x14ac:dyDescent="0.2">
      <c r="B316"/>
    </row>
    <row r="317" spans="2:2" x14ac:dyDescent="0.2">
      <c r="B317"/>
    </row>
    <row r="318" spans="2:2" x14ac:dyDescent="0.2">
      <c r="B318"/>
    </row>
    <row r="319" spans="2:2" x14ac:dyDescent="0.2">
      <c r="B319"/>
    </row>
    <row r="320" spans="2:2" x14ac:dyDescent="0.2">
      <c r="B320"/>
    </row>
    <row r="321" spans="2:2" x14ac:dyDescent="0.2">
      <c r="B321"/>
    </row>
    <row r="322" spans="2:2" x14ac:dyDescent="0.2">
      <c r="B322"/>
    </row>
    <row r="323" spans="2:2" x14ac:dyDescent="0.2">
      <c r="B323"/>
    </row>
    <row r="324" spans="2:2" x14ac:dyDescent="0.2">
      <c r="B324"/>
    </row>
    <row r="325" spans="2:2" x14ac:dyDescent="0.2">
      <c r="B325"/>
    </row>
    <row r="326" spans="2:2" x14ac:dyDescent="0.2">
      <c r="B326"/>
    </row>
    <row r="327" spans="2:2" x14ac:dyDescent="0.2">
      <c r="B327"/>
    </row>
    <row r="328" spans="2:2" x14ac:dyDescent="0.2">
      <c r="B328"/>
    </row>
    <row r="329" spans="2:2" x14ac:dyDescent="0.2">
      <c r="B329"/>
    </row>
    <row r="330" spans="2:2" x14ac:dyDescent="0.2">
      <c r="B330"/>
    </row>
    <row r="331" spans="2:2" x14ac:dyDescent="0.2">
      <c r="B331"/>
    </row>
    <row r="332" spans="2:2" x14ac:dyDescent="0.2">
      <c r="B332"/>
    </row>
    <row r="333" spans="2:2" x14ac:dyDescent="0.2">
      <c r="B333"/>
    </row>
    <row r="334" spans="2:2" x14ac:dyDescent="0.2">
      <c r="B334"/>
    </row>
    <row r="335" spans="2:2" x14ac:dyDescent="0.2">
      <c r="B335"/>
    </row>
    <row r="336" spans="2:2" x14ac:dyDescent="0.2">
      <c r="B336"/>
    </row>
    <row r="337" spans="2:2" x14ac:dyDescent="0.2">
      <c r="B337"/>
    </row>
    <row r="338" spans="2:2" x14ac:dyDescent="0.2">
      <c r="B338"/>
    </row>
    <row r="339" spans="2:2" x14ac:dyDescent="0.2">
      <c r="B339"/>
    </row>
    <row r="340" spans="2:2" x14ac:dyDescent="0.2">
      <c r="B340"/>
    </row>
    <row r="341" spans="2:2" x14ac:dyDescent="0.2">
      <c r="B341"/>
    </row>
    <row r="342" spans="2:2" x14ac:dyDescent="0.2">
      <c r="B342"/>
    </row>
    <row r="343" spans="2:2" x14ac:dyDescent="0.2">
      <c r="B343"/>
    </row>
    <row r="344" spans="2:2" x14ac:dyDescent="0.2">
      <c r="B344"/>
    </row>
    <row r="345" spans="2:2" x14ac:dyDescent="0.2">
      <c r="B345"/>
    </row>
    <row r="346" spans="2:2" x14ac:dyDescent="0.2">
      <c r="B346"/>
    </row>
    <row r="347" spans="2:2" x14ac:dyDescent="0.2">
      <c r="B347"/>
    </row>
    <row r="348" spans="2:2" x14ac:dyDescent="0.2">
      <c r="B348"/>
    </row>
    <row r="349" spans="2:2" x14ac:dyDescent="0.2">
      <c r="B349"/>
    </row>
    <row r="350" spans="2:2" x14ac:dyDescent="0.2">
      <c r="B350"/>
    </row>
    <row r="351" spans="2:2" x14ac:dyDescent="0.2">
      <c r="B351"/>
    </row>
    <row r="352" spans="2:2" x14ac:dyDescent="0.2">
      <c r="B352"/>
    </row>
    <row r="353" spans="2:2" x14ac:dyDescent="0.2">
      <c r="B353"/>
    </row>
    <row r="354" spans="2:2" x14ac:dyDescent="0.2">
      <c r="B354"/>
    </row>
    <row r="355" spans="2:2" x14ac:dyDescent="0.2">
      <c r="B355"/>
    </row>
    <row r="356" spans="2:2" x14ac:dyDescent="0.2">
      <c r="B356"/>
    </row>
    <row r="357" spans="2:2" x14ac:dyDescent="0.2">
      <c r="B357"/>
    </row>
    <row r="358" spans="2:2" x14ac:dyDescent="0.2">
      <c r="B358"/>
    </row>
    <row r="359" spans="2:2" x14ac:dyDescent="0.2">
      <c r="B359"/>
    </row>
    <row r="360" spans="2:2" x14ac:dyDescent="0.2">
      <c r="B360"/>
    </row>
    <row r="361" spans="2:2" x14ac:dyDescent="0.2">
      <c r="B361"/>
    </row>
    <row r="362" spans="2:2" x14ac:dyDescent="0.2">
      <c r="B362"/>
    </row>
    <row r="363" spans="2:2" x14ac:dyDescent="0.2">
      <c r="B363"/>
    </row>
    <row r="364" spans="2:2" x14ac:dyDescent="0.2">
      <c r="B364"/>
    </row>
    <row r="365" spans="2:2" x14ac:dyDescent="0.2">
      <c r="B365"/>
    </row>
    <row r="366" spans="2:2" x14ac:dyDescent="0.2">
      <c r="B366"/>
    </row>
    <row r="367" spans="2:2" x14ac:dyDescent="0.2">
      <c r="B367"/>
    </row>
    <row r="368" spans="2:2" x14ac:dyDescent="0.2">
      <c r="B368"/>
    </row>
    <row r="369" spans="2:2" x14ac:dyDescent="0.2">
      <c r="B369"/>
    </row>
    <row r="370" spans="2:2" x14ac:dyDescent="0.2">
      <c r="B370"/>
    </row>
    <row r="371" spans="2:2" x14ac:dyDescent="0.2">
      <c r="B371"/>
    </row>
    <row r="372" spans="2:2" x14ac:dyDescent="0.2">
      <c r="B372"/>
    </row>
    <row r="373" spans="2:2" x14ac:dyDescent="0.2">
      <c r="B373"/>
    </row>
    <row r="374" spans="2:2" x14ac:dyDescent="0.2">
      <c r="B374"/>
    </row>
    <row r="375" spans="2:2" x14ac:dyDescent="0.2">
      <c r="B375"/>
    </row>
    <row r="376" spans="2:2" x14ac:dyDescent="0.2">
      <c r="B376"/>
    </row>
    <row r="377" spans="2:2" x14ac:dyDescent="0.2">
      <c r="B377"/>
    </row>
    <row r="378" spans="2:2" x14ac:dyDescent="0.2">
      <c r="B378"/>
    </row>
    <row r="379" spans="2:2" x14ac:dyDescent="0.2">
      <c r="B379"/>
    </row>
    <row r="380" spans="2:2" x14ac:dyDescent="0.2">
      <c r="B380"/>
    </row>
    <row r="381" spans="2:2" x14ac:dyDescent="0.2">
      <c r="B381"/>
    </row>
    <row r="382" spans="2:2" x14ac:dyDescent="0.2">
      <c r="B382"/>
    </row>
    <row r="383" spans="2:2" x14ac:dyDescent="0.2">
      <c r="B383"/>
    </row>
    <row r="384" spans="2:2" x14ac:dyDescent="0.2">
      <c r="B384"/>
    </row>
    <row r="385" spans="2:2" x14ac:dyDescent="0.2">
      <c r="B385"/>
    </row>
    <row r="386" spans="2:2" x14ac:dyDescent="0.2">
      <c r="B386"/>
    </row>
    <row r="387" spans="2:2" x14ac:dyDescent="0.2">
      <c r="B387"/>
    </row>
    <row r="388" spans="2:2" x14ac:dyDescent="0.2">
      <c r="B388"/>
    </row>
    <row r="389" spans="2:2" x14ac:dyDescent="0.2">
      <c r="B389"/>
    </row>
    <row r="390" spans="2:2" x14ac:dyDescent="0.2">
      <c r="B390"/>
    </row>
    <row r="391" spans="2:2" x14ac:dyDescent="0.2">
      <c r="B391"/>
    </row>
    <row r="392" spans="2:2" x14ac:dyDescent="0.2">
      <c r="B392"/>
    </row>
    <row r="393" spans="2:2" x14ac:dyDescent="0.2">
      <c r="B393"/>
    </row>
    <row r="394" spans="2:2" x14ac:dyDescent="0.2">
      <c r="B394"/>
    </row>
    <row r="395" spans="2:2" x14ac:dyDescent="0.2">
      <c r="B395"/>
    </row>
    <row r="396" spans="2:2" x14ac:dyDescent="0.2">
      <c r="B396"/>
    </row>
    <row r="397" spans="2:2" x14ac:dyDescent="0.2">
      <c r="B397"/>
    </row>
    <row r="398" spans="2:2" x14ac:dyDescent="0.2">
      <c r="B398"/>
    </row>
    <row r="399" spans="2:2" x14ac:dyDescent="0.2">
      <c r="B399"/>
    </row>
    <row r="400" spans="2:2" x14ac:dyDescent="0.2">
      <c r="B400"/>
    </row>
    <row r="401" spans="2:2" x14ac:dyDescent="0.2">
      <c r="B401"/>
    </row>
    <row r="402" spans="2:2" x14ac:dyDescent="0.2">
      <c r="B402"/>
    </row>
    <row r="403" spans="2:2" x14ac:dyDescent="0.2">
      <c r="B403"/>
    </row>
    <row r="404" spans="2:2" x14ac:dyDescent="0.2">
      <c r="B404"/>
    </row>
    <row r="405" spans="2:2" x14ac:dyDescent="0.2">
      <c r="B405"/>
    </row>
    <row r="406" spans="2:2" x14ac:dyDescent="0.2">
      <c r="B406"/>
    </row>
    <row r="407" spans="2:2" x14ac:dyDescent="0.2">
      <c r="B407"/>
    </row>
    <row r="408" spans="2:2" x14ac:dyDescent="0.2">
      <c r="B408"/>
    </row>
    <row r="409" spans="2:2" x14ac:dyDescent="0.2">
      <c r="B409"/>
    </row>
    <row r="410" spans="2:2" x14ac:dyDescent="0.2">
      <c r="B410"/>
    </row>
    <row r="411" spans="2:2" x14ac:dyDescent="0.2">
      <c r="B411"/>
    </row>
    <row r="412" spans="2:2" x14ac:dyDescent="0.2">
      <c r="B412"/>
    </row>
    <row r="413" spans="2:2" x14ac:dyDescent="0.2">
      <c r="B413"/>
    </row>
    <row r="414" spans="2:2" x14ac:dyDescent="0.2">
      <c r="B414"/>
    </row>
    <row r="415" spans="2:2" x14ac:dyDescent="0.2">
      <c r="B415"/>
    </row>
    <row r="416" spans="2:2" x14ac:dyDescent="0.2">
      <c r="B416"/>
    </row>
    <row r="417" spans="2:2" x14ac:dyDescent="0.2">
      <c r="B417"/>
    </row>
    <row r="418" spans="2:2" x14ac:dyDescent="0.2">
      <c r="B418"/>
    </row>
    <row r="419" spans="2:2" x14ac:dyDescent="0.2">
      <c r="B419"/>
    </row>
    <row r="420" spans="2:2" x14ac:dyDescent="0.2">
      <c r="B420"/>
    </row>
    <row r="421" spans="2:2" x14ac:dyDescent="0.2">
      <c r="B421"/>
    </row>
    <row r="422" spans="2:2" x14ac:dyDescent="0.2">
      <c r="B422"/>
    </row>
    <row r="423" spans="2:2" x14ac:dyDescent="0.2">
      <c r="B423"/>
    </row>
    <row r="424" spans="2:2" x14ac:dyDescent="0.2">
      <c r="B424"/>
    </row>
    <row r="425" spans="2:2" x14ac:dyDescent="0.2">
      <c r="B425"/>
    </row>
    <row r="426" spans="2:2" x14ac:dyDescent="0.2">
      <c r="B426"/>
    </row>
    <row r="427" spans="2:2" x14ac:dyDescent="0.2">
      <c r="B427"/>
    </row>
    <row r="428" spans="2:2" x14ac:dyDescent="0.2">
      <c r="B428"/>
    </row>
    <row r="429" spans="2:2" x14ac:dyDescent="0.2">
      <c r="B429"/>
    </row>
    <row r="430" spans="2:2" x14ac:dyDescent="0.2">
      <c r="B430"/>
    </row>
    <row r="431" spans="2:2" x14ac:dyDescent="0.2">
      <c r="B431"/>
    </row>
    <row r="432" spans="2:2" x14ac:dyDescent="0.2">
      <c r="B432"/>
    </row>
    <row r="433" spans="2:2" x14ac:dyDescent="0.2">
      <c r="B433"/>
    </row>
    <row r="434" spans="2:2" x14ac:dyDescent="0.2">
      <c r="B434"/>
    </row>
    <row r="435" spans="2:2" x14ac:dyDescent="0.2">
      <c r="B435"/>
    </row>
    <row r="436" spans="2:2" x14ac:dyDescent="0.2">
      <c r="B436"/>
    </row>
    <row r="437" spans="2:2" x14ac:dyDescent="0.2">
      <c r="B437"/>
    </row>
    <row r="438" spans="2:2" x14ac:dyDescent="0.2">
      <c r="B438"/>
    </row>
    <row r="439" spans="2:2" x14ac:dyDescent="0.2">
      <c r="B439"/>
    </row>
    <row r="440" spans="2:2" x14ac:dyDescent="0.2">
      <c r="B440"/>
    </row>
    <row r="441" spans="2:2" x14ac:dyDescent="0.2">
      <c r="B441"/>
    </row>
    <row r="442" spans="2:2" x14ac:dyDescent="0.2">
      <c r="B442"/>
    </row>
    <row r="443" spans="2:2" x14ac:dyDescent="0.2">
      <c r="B443"/>
    </row>
    <row r="444" spans="2:2" x14ac:dyDescent="0.2">
      <c r="B444"/>
    </row>
    <row r="445" spans="2:2" x14ac:dyDescent="0.2">
      <c r="B445"/>
    </row>
    <row r="446" spans="2:2" x14ac:dyDescent="0.2">
      <c r="B446"/>
    </row>
    <row r="447" spans="2:2" x14ac:dyDescent="0.2">
      <c r="B447"/>
    </row>
    <row r="448" spans="2:2" x14ac:dyDescent="0.2">
      <c r="B448"/>
    </row>
    <row r="449" spans="2:2" x14ac:dyDescent="0.2">
      <c r="B449"/>
    </row>
    <row r="450" spans="2:2" x14ac:dyDescent="0.2">
      <c r="B450"/>
    </row>
    <row r="451" spans="2:2" x14ac:dyDescent="0.2">
      <c r="B451"/>
    </row>
    <row r="452" spans="2:2" x14ac:dyDescent="0.2">
      <c r="B452"/>
    </row>
    <row r="453" spans="2:2" x14ac:dyDescent="0.2">
      <c r="B453"/>
    </row>
    <row r="454" spans="2:2" x14ac:dyDescent="0.2">
      <c r="B454"/>
    </row>
    <row r="455" spans="2:2" x14ac:dyDescent="0.2">
      <c r="B455"/>
    </row>
    <row r="456" spans="2:2" x14ac:dyDescent="0.2">
      <c r="B456"/>
    </row>
    <row r="457" spans="2:2" x14ac:dyDescent="0.2">
      <c r="B457"/>
    </row>
    <row r="458" spans="2:2" x14ac:dyDescent="0.2">
      <c r="B458"/>
    </row>
    <row r="459" spans="2:2" x14ac:dyDescent="0.2">
      <c r="B459"/>
    </row>
    <row r="460" spans="2:2" x14ac:dyDescent="0.2">
      <c r="B460"/>
    </row>
    <row r="461" spans="2:2" x14ac:dyDescent="0.2">
      <c r="B461"/>
    </row>
    <row r="462" spans="2:2" x14ac:dyDescent="0.2">
      <c r="B462"/>
    </row>
    <row r="463" spans="2:2" x14ac:dyDescent="0.2">
      <c r="B463"/>
    </row>
    <row r="464" spans="2:2" x14ac:dyDescent="0.2">
      <c r="B464"/>
    </row>
    <row r="465" spans="2:2" x14ac:dyDescent="0.2">
      <c r="B465"/>
    </row>
    <row r="466" spans="2:2" x14ac:dyDescent="0.2">
      <c r="B466"/>
    </row>
    <row r="467" spans="2:2" x14ac:dyDescent="0.2">
      <c r="B467"/>
    </row>
    <row r="468" spans="2:2" x14ac:dyDescent="0.2">
      <c r="B468"/>
    </row>
    <row r="469" spans="2:2" x14ac:dyDescent="0.2">
      <c r="B469"/>
    </row>
    <row r="470" spans="2:2" x14ac:dyDescent="0.2">
      <c r="B470"/>
    </row>
    <row r="471" spans="2:2" x14ac:dyDescent="0.2">
      <c r="B471"/>
    </row>
    <row r="472" spans="2:2" x14ac:dyDescent="0.2">
      <c r="B472"/>
    </row>
    <row r="473" spans="2:2" x14ac:dyDescent="0.2">
      <c r="B473"/>
    </row>
    <row r="474" spans="2:2" x14ac:dyDescent="0.2">
      <c r="B474"/>
    </row>
    <row r="475" spans="2:2" x14ac:dyDescent="0.2">
      <c r="B475"/>
    </row>
    <row r="476" spans="2:2" x14ac:dyDescent="0.2">
      <c r="B476"/>
    </row>
    <row r="477" spans="2:2" x14ac:dyDescent="0.2">
      <c r="B477"/>
    </row>
    <row r="478" spans="2:2" x14ac:dyDescent="0.2">
      <c r="B478"/>
    </row>
    <row r="479" spans="2:2" x14ac:dyDescent="0.2">
      <c r="B479"/>
    </row>
    <row r="480" spans="2:2" x14ac:dyDescent="0.2">
      <c r="B480"/>
    </row>
    <row r="481" spans="2:2" x14ac:dyDescent="0.2">
      <c r="B481"/>
    </row>
    <row r="482" spans="2:2" x14ac:dyDescent="0.2">
      <c r="B482"/>
    </row>
    <row r="483" spans="2:2" x14ac:dyDescent="0.2">
      <c r="B483"/>
    </row>
    <row r="484" spans="2:2" x14ac:dyDescent="0.2">
      <c r="B484"/>
    </row>
    <row r="485" spans="2:2" x14ac:dyDescent="0.2">
      <c r="B485"/>
    </row>
    <row r="486" spans="2:2" x14ac:dyDescent="0.2">
      <c r="B486"/>
    </row>
    <row r="487" spans="2:2" x14ac:dyDescent="0.2">
      <c r="B487"/>
    </row>
    <row r="488" spans="2:2" x14ac:dyDescent="0.2">
      <c r="B488"/>
    </row>
    <row r="489" spans="2:2" x14ac:dyDescent="0.2">
      <c r="B489"/>
    </row>
    <row r="490" spans="2:2" x14ac:dyDescent="0.2">
      <c r="B490"/>
    </row>
    <row r="491" spans="2:2" x14ac:dyDescent="0.2">
      <c r="B491"/>
    </row>
    <row r="492" spans="2:2" x14ac:dyDescent="0.2">
      <c r="B492"/>
    </row>
    <row r="493" spans="2:2" x14ac:dyDescent="0.2">
      <c r="B493"/>
    </row>
    <row r="494" spans="2:2" x14ac:dyDescent="0.2">
      <c r="B494"/>
    </row>
    <row r="495" spans="2:2" x14ac:dyDescent="0.2">
      <c r="B495"/>
    </row>
    <row r="496" spans="2:2" x14ac:dyDescent="0.2">
      <c r="B496"/>
    </row>
    <row r="497" spans="2:2" x14ac:dyDescent="0.2">
      <c r="B497"/>
    </row>
    <row r="498" spans="2:2" x14ac:dyDescent="0.2">
      <c r="B498"/>
    </row>
    <row r="499" spans="2:2" x14ac:dyDescent="0.2">
      <c r="B499"/>
    </row>
    <row r="500" spans="2:2" x14ac:dyDescent="0.2">
      <c r="B500"/>
    </row>
    <row r="501" spans="2:2" x14ac:dyDescent="0.2">
      <c r="B501"/>
    </row>
    <row r="502" spans="2:2" x14ac:dyDescent="0.2">
      <c r="B502"/>
    </row>
    <row r="503" spans="2:2" x14ac:dyDescent="0.2">
      <c r="B503"/>
    </row>
    <row r="504" spans="2:2" x14ac:dyDescent="0.2">
      <c r="B504"/>
    </row>
    <row r="505" spans="2:2" x14ac:dyDescent="0.2">
      <c r="B505"/>
    </row>
    <row r="506" spans="2:2" x14ac:dyDescent="0.2">
      <c r="B506"/>
    </row>
    <row r="507" spans="2:2" x14ac:dyDescent="0.2">
      <c r="B507"/>
    </row>
    <row r="508" spans="2:2" x14ac:dyDescent="0.2">
      <c r="B508"/>
    </row>
    <row r="509" spans="2:2" x14ac:dyDescent="0.2">
      <c r="B509"/>
    </row>
    <row r="510" spans="2:2" x14ac:dyDescent="0.2">
      <c r="B510"/>
    </row>
    <row r="511" spans="2:2" x14ac:dyDescent="0.2">
      <c r="B511"/>
    </row>
    <row r="512" spans="2:2" x14ac:dyDescent="0.2">
      <c r="B512"/>
    </row>
    <row r="513" spans="2:2" x14ac:dyDescent="0.2">
      <c r="B513"/>
    </row>
    <row r="514" spans="2:2" x14ac:dyDescent="0.2">
      <c r="B514"/>
    </row>
    <row r="515" spans="2:2" x14ac:dyDescent="0.2">
      <c r="B515"/>
    </row>
    <row r="516" spans="2:2" x14ac:dyDescent="0.2">
      <c r="B516"/>
    </row>
    <row r="517" spans="2:2" x14ac:dyDescent="0.2">
      <c r="B517"/>
    </row>
    <row r="518" spans="2:2" x14ac:dyDescent="0.2">
      <c r="B518"/>
    </row>
    <row r="519" spans="2:2" x14ac:dyDescent="0.2">
      <c r="B519"/>
    </row>
    <row r="520" spans="2:2" x14ac:dyDescent="0.2">
      <c r="B520"/>
    </row>
    <row r="521" spans="2:2" x14ac:dyDescent="0.2">
      <c r="B521"/>
    </row>
    <row r="522" spans="2:2" x14ac:dyDescent="0.2">
      <c r="B522"/>
    </row>
    <row r="523" spans="2:2" x14ac:dyDescent="0.2">
      <c r="B523"/>
    </row>
    <row r="524" spans="2:2" x14ac:dyDescent="0.2">
      <c r="B524"/>
    </row>
    <row r="525" spans="2:2" x14ac:dyDescent="0.2">
      <c r="B525"/>
    </row>
    <row r="526" spans="2:2" x14ac:dyDescent="0.2">
      <c r="B526"/>
    </row>
    <row r="527" spans="2:2" x14ac:dyDescent="0.2">
      <c r="B527"/>
    </row>
    <row r="528" spans="2:2" x14ac:dyDescent="0.2">
      <c r="B528"/>
    </row>
    <row r="529" spans="2:2" x14ac:dyDescent="0.2">
      <c r="B529"/>
    </row>
    <row r="530" spans="2:2" x14ac:dyDescent="0.2">
      <c r="B530"/>
    </row>
    <row r="531" spans="2:2" x14ac:dyDescent="0.2">
      <c r="B531"/>
    </row>
    <row r="532" spans="2:2" x14ac:dyDescent="0.2">
      <c r="B532"/>
    </row>
    <row r="533" spans="2:2" x14ac:dyDescent="0.2">
      <c r="B533"/>
    </row>
    <row r="534" spans="2:2" x14ac:dyDescent="0.2">
      <c r="B534"/>
    </row>
    <row r="535" spans="2:2" x14ac:dyDescent="0.2">
      <c r="B535"/>
    </row>
    <row r="536" spans="2:2" x14ac:dyDescent="0.2">
      <c r="B536"/>
    </row>
    <row r="537" spans="2:2" x14ac:dyDescent="0.2">
      <c r="B537"/>
    </row>
    <row r="538" spans="2:2" x14ac:dyDescent="0.2">
      <c r="B538"/>
    </row>
    <row r="539" spans="2:2" x14ac:dyDescent="0.2">
      <c r="B539"/>
    </row>
    <row r="540" spans="2:2" x14ac:dyDescent="0.2">
      <c r="B540"/>
    </row>
    <row r="541" spans="2:2" x14ac:dyDescent="0.2">
      <c r="B541"/>
    </row>
    <row r="542" spans="2:2" x14ac:dyDescent="0.2">
      <c r="B542"/>
    </row>
    <row r="543" spans="2:2" x14ac:dyDescent="0.2">
      <c r="B543"/>
    </row>
    <row r="544" spans="2:2" x14ac:dyDescent="0.2">
      <c r="B544"/>
    </row>
    <row r="545" spans="2:2" x14ac:dyDescent="0.2">
      <c r="B545"/>
    </row>
    <row r="546" spans="2:2" x14ac:dyDescent="0.2">
      <c r="B546"/>
    </row>
    <row r="547" spans="2:2" x14ac:dyDescent="0.2">
      <c r="B547"/>
    </row>
    <row r="548" spans="2:2" x14ac:dyDescent="0.2">
      <c r="B548"/>
    </row>
    <row r="549" spans="2:2" x14ac:dyDescent="0.2">
      <c r="B549"/>
    </row>
    <row r="550" spans="2:2" x14ac:dyDescent="0.2">
      <c r="B550"/>
    </row>
    <row r="551" spans="2:2" x14ac:dyDescent="0.2">
      <c r="B551"/>
    </row>
    <row r="552" spans="2:2" x14ac:dyDescent="0.2">
      <c r="B552"/>
    </row>
    <row r="553" spans="2:2" x14ac:dyDescent="0.2">
      <c r="B553"/>
    </row>
    <row r="554" spans="2:2" x14ac:dyDescent="0.2">
      <c r="B554"/>
    </row>
    <row r="555" spans="2:2" x14ac:dyDescent="0.2">
      <c r="B555"/>
    </row>
    <row r="556" spans="2:2" x14ac:dyDescent="0.2">
      <c r="B556"/>
    </row>
    <row r="557" spans="2:2" x14ac:dyDescent="0.2">
      <c r="B557"/>
    </row>
    <row r="558" spans="2:2" x14ac:dyDescent="0.2">
      <c r="B558"/>
    </row>
    <row r="559" spans="2:2" x14ac:dyDescent="0.2">
      <c r="B559"/>
    </row>
    <row r="560" spans="2:2" x14ac:dyDescent="0.2">
      <c r="B560"/>
    </row>
    <row r="561" spans="2:2" x14ac:dyDescent="0.2">
      <c r="B561"/>
    </row>
    <row r="562" spans="2:2" x14ac:dyDescent="0.2">
      <c r="B562"/>
    </row>
    <row r="563" spans="2:2" x14ac:dyDescent="0.2">
      <c r="B563"/>
    </row>
    <row r="564" spans="2:2" x14ac:dyDescent="0.2">
      <c r="B564"/>
    </row>
    <row r="565" spans="2:2" x14ac:dyDescent="0.2">
      <c r="B565"/>
    </row>
    <row r="566" spans="2:2" x14ac:dyDescent="0.2">
      <c r="B566"/>
    </row>
    <row r="567" spans="2:2" x14ac:dyDescent="0.2">
      <c r="B567"/>
    </row>
    <row r="568" spans="2:2" x14ac:dyDescent="0.2">
      <c r="B568"/>
    </row>
    <row r="569" spans="2:2" x14ac:dyDescent="0.2">
      <c r="B569"/>
    </row>
    <row r="570" spans="2:2" x14ac:dyDescent="0.2">
      <c r="B570"/>
    </row>
    <row r="571" spans="2:2" x14ac:dyDescent="0.2">
      <c r="B571"/>
    </row>
    <row r="572" spans="2:2" x14ac:dyDescent="0.2">
      <c r="B572"/>
    </row>
    <row r="573" spans="2:2" x14ac:dyDescent="0.2">
      <c r="B573"/>
    </row>
    <row r="574" spans="2:2" x14ac:dyDescent="0.2">
      <c r="B574"/>
    </row>
    <row r="575" spans="2:2" x14ac:dyDescent="0.2">
      <c r="B575"/>
    </row>
    <row r="576" spans="2:2" x14ac:dyDescent="0.2">
      <c r="B576"/>
    </row>
    <row r="577" spans="2:2" x14ac:dyDescent="0.2">
      <c r="B577"/>
    </row>
    <row r="578" spans="2:2" x14ac:dyDescent="0.2">
      <c r="B578"/>
    </row>
    <row r="579" spans="2:2" x14ac:dyDescent="0.2">
      <c r="B579"/>
    </row>
    <row r="580" spans="2:2" x14ac:dyDescent="0.2">
      <c r="B580"/>
    </row>
    <row r="581" spans="2:2" x14ac:dyDescent="0.2">
      <c r="B581"/>
    </row>
    <row r="582" spans="2:2" x14ac:dyDescent="0.2">
      <c r="B582"/>
    </row>
    <row r="583" spans="2:2" x14ac:dyDescent="0.2">
      <c r="B583"/>
    </row>
    <row r="584" spans="2:2" x14ac:dyDescent="0.2">
      <c r="B584"/>
    </row>
    <row r="585" spans="2:2" x14ac:dyDescent="0.2">
      <c r="B585"/>
    </row>
    <row r="586" spans="2:2" x14ac:dyDescent="0.2">
      <c r="B586"/>
    </row>
    <row r="587" spans="2:2" x14ac:dyDescent="0.2">
      <c r="B587"/>
    </row>
    <row r="588" spans="2:2" x14ac:dyDescent="0.2">
      <c r="B588"/>
    </row>
    <row r="589" spans="2:2" x14ac:dyDescent="0.2">
      <c r="B589"/>
    </row>
    <row r="590" spans="2:2" x14ac:dyDescent="0.2">
      <c r="B590"/>
    </row>
    <row r="591" spans="2:2" x14ac:dyDescent="0.2">
      <c r="B591"/>
    </row>
    <row r="592" spans="2:2" x14ac:dyDescent="0.2">
      <c r="B592"/>
    </row>
    <row r="593" spans="2:2" x14ac:dyDescent="0.2">
      <c r="B593"/>
    </row>
    <row r="594" spans="2:2" x14ac:dyDescent="0.2">
      <c r="B594"/>
    </row>
    <row r="595" spans="2:2" x14ac:dyDescent="0.2">
      <c r="B595"/>
    </row>
    <row r="596" spans="2:2" x14ac:dyDescent="0.2">
      <c r="B596"/>
    </row>
    <row r="597" spans="2:2" x14ac:dyDescent="0.2">
      <c r="B597"/>
    </row>
    <row r="598" spans="2:2" x14ac:dyDescent="0.2">
      <c r="B598"/>
    </row>
    <row r="599" spans="2:2" x14ac:dyDescent="0.2">
      <c r="B599"/>
    </row>
    <row r="600" spans="2:2" x14ac:dyDescent="0.2">
      <c r="B600"/>
    </row>
    <row r="601" spans="2:2" x14ac:dyDescent="0.2">
      <c r="B601"/>
    </row>
    <row r="602" spans="2:2" x14ac:dyDescent="0.2">
      <c r="B602"/>
    </row>
    <row r="603" spans="2:2" x14ac:dyDescent="0.2">
      <c r="B603"/>
    </row>
    <row r="604" spans="2:2" x14ac:dyDescent="0.2">
      <c r="B604"/>
    </row>
    <row r="605" spans="2:2" x14ac:dyDescent="0.2">
      <c r="B605"/>
    </row>
    <row r="606" spans="2:2" x14ac:dyDescent="0.2">
      <c r="B606"/>
    </row>
    <row r="607" spans="2:2" x14ac:dyDescent="0.2">
      <c r="B607"/>
    </row>
    <row r="608" spans="2:2" x14ac:dyDescent="0.2">
      <c r="B608"/>
    </row>
    <row r="609" spans="2:2" x14ac:dyDescent="0.2">
      <c r="B609"/>
    </row>
    <row r="610" spans="2:2" x14ac:dyDescent="0.2">
      <c r="B610"/>
    </row>
    <row r="611" spans="2:2" x14ac:dyDescent="0.2">
      <c r="B611"/>
    </row>
    <row r="612" spans="2:2" x14ac:dyDescent="0.2">
      <c r="B612"/>
    </row>
    <row r="613" spans="2:2" x14ac:dyDescent="0.2">
      <c r="B613"/>
    </row>
    <row r="614" spans="2:2" x14ac:dyDescent="0.2">
      <c r="B614"/>
    </row>
    <row r="615" spans="2:2" x14ac:dyDescent="0.2">
      <c r="B615"/>
    </row>
    <row r="616" spans="2:2" x14ac:dyDescent="0.2">
      <c r="B616"/>
    </row>
    <row r="617" spans="2:2" x14ac:dyDescent="0.2">
      <c r="B617"/>
    </row>
    <row r="618" spans="2:2" x14ac:dyDescent="0.2">
      <c r="B618"/>
    </row>
    <row r="619" spans="2:2" x14ac:dyDescent="0.2">
      <c r="B619"/>
    </row>
    <row r="620" spans="2:2" x14ac:dyDescent="0.2">
      <c r="B620"/>
    </row>
    <row r="621" spans="2:2" x14ac:dyDescent="0.2">
      <c r="B621"/>
    </row>
    <row r="622" spans="2:2" x14ac:dyDescent="0.2">
      <c r="B622"/>
    </row>
    <row r="623" spans="2:2" x14ac:dyDescent="0.2">
      <c r="B623"/>
    </row>
    <row r="624" spans="2:2" x14ac:dyDescent="0.2">
      <c r="B624"/>
    </row>
    <row r="625" spans="2:2" x14ac:dyDescent="0.2">
      <c r="B625"/>
    </row>
    <row r="626" spans="2:2" x14ac:dyDescent="0.2">
      <c r="B626"/>
    </row>
    <row r="627" spans="2:2" x14ac:dyDescent="0.2">
      <c r="B627"/>
    </row>
    <row r="628" spans="2:2" x14ac:dyDescent="0.2">
      <c r="B628"/>
    </row>
    <row r="629" spans="2:2" x14ac:dyDescent="0.2">
      <c r="B629"/>
    </row>
    <row r="630" spans="2:2" x14ac:dyDescent="0.2">
      <c r="B630"/>
    </row>
    <row r="631" spans="2:2" x14ac:dyDescent="0.2">
      <c r="B631"/>
    </row>
    <row r="632" spans="2:2" x14ac:dyDescent="0.2">
      <c r="B632"/>
    </row>
    <row r="633" spans="2:2" x14ac:dyDescent="0.2">
      <c r="B633"/>
    </row>
    <row r="634" spans="2:2" x14ac:dyDescent="0.2">
      <c r="B634"/>
    </row>
    <row r="635" spans="2:2" x14ac:dyDescent="0.2">
      <c r="B635"/>
    </row>
    <row r="636" spans="2:2" x14ac:dyDescent="0.2">
      <c r="B636"/>
    </row>
    <row r="637" spans="2:2" x14ac:dyDescent="0.2">
      <c r="B637"/>
    </row>
    <row r="638" spans="2:2" x14ac:dyDescent="0.2">
      <c r="B638"/>
    </row>
    <row r="639" spans="2:2" x14ac:dyDescent="0.2">
      <c r="B639"/>
    </row>
    <row r="640" spans="2:2" x14ac:dyDescent="0.2">
      <c r="B640"/>
    </row>
    <row r="641" spans="2:2" x14ac:dyDescent="0.2">
      <c r="B641"/>
    </row>
    <row r="642" spans="2:2" x14ac:dyDescent="0.2">
      <c r="B642"/>
    </row>
    <row r="643" spans="2:2" x14ac:dyDescent="0.2">
      <c r="B643"/>
    </row>
    <row r="644" spans="2:2" x14ac:dyDescent="0.2">
      <c r="B644"/>
    </row>
    <row r="645" spans="2:2" x14ac:dyDescent="0.2">
      <c r="B645"/>
    </row>
    <row r="646" spans="2:2" x14ac:dyDescent="0.2">
      <c r="B646"/>
    </row>
    <row r="647" spans="2:2" x14ac:dyDescent="0.2">
      <c r="B647"/>
    </row>
    <row r="648" spans="2:2" x14ac:dyDescent="0.2">
      <c r="B648"/>
    </row>
    <row r="649" spans="2:2" x14ac:dyDescent="0.2">
      <c r="B649"/>
    </row>
    <row r="650" spans="2:2" x14ac:dyDescent="0.2">
      <c r="B650"/>
    </row>
    <row r="651" spans="2:2" x14ac:dyDescent="0.2">
      <c r="B651"/>
    </row>
    <row r="652" spans="2:2" x14ac:dyDescent="0.2">
      <c r="B652"/>
    </row>
    <row r="653" spans="2:2" x14ac:dyDescent="0.2">
      <c r="B653"/>
    </row>
    <row r="654" spans="2:2" x14ac:dyDescent="0.2">
      <c r="B654"/>
    </row>
    <row r="655" spans="2:2" x14ac:dyDescent="0.2">
      <c r="B655"/>
    </row>
    <row r="656" spans="2:2" x14ac:dyDescent="0.2">
      <c r="B656"/>
    </row>
  </sheetData>
  <customSheetViews>
    <customSheetView guid="{4EE4166A-A743-EA44-9468-B79C8EBEBE02}">
      <selection activeCell="O53" sqref="O53"/>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495A2-7947-9B47-9A4C-63316BEFFDFC}">
  <sheetPr codeName="Sheet5"/>
  <dimension ref="A1:P36"/>
  <sheetViews>
    <sheetView workbookViewId="0">
      <selection activeCell="F10" sqref="F10"/>
    </sheetView>
  </sheetViews>
  <sheetFormatPr baseColWidth="10" defaultColWidth="11.42578125" defaultRowHeight="14" x14ac:dyDescent="0.2"/>
  <sheetData>
    <row r="1" spans="1:16" x14ac:dyDescent="0.2">
      <c r="A1" s="10"/>
      <c r="B1" s="10"/>
      <c r="C1" s="10"/>
      <c r="D1" s="10"/>
      <c r="E1" s="10"/>
      <c r="F1" s="10"/>
      <c r="G1" s="10"/>
      <c r="H1" s="10"/>
      <c r="I1" s="10"/>
      <c r="J1" s="10"/>
      <c r="K1" s="10"/>
      <c r="L1" s="10"/>
      <c r="M1" s="10"/>
      <c r="N1" s="10"/>
      <c r="O1" s="10"/>
      <c r="P1" s="10"/>
    </row>
    <row r="2" spans="1:16" x14ac:dyDescent="0.2">
      <c r="A2" s="10"/>
      <c r="B2" s="10"/>
      <c r="C2" s="10"/>
      <c r="D2" s="10"/>
      <c r="E2" s="10"/>
      <c r="F2" s="10"/>
      <c r="G2" s="10"/>
      <c r="H2" s="10"/>
      <c r="I2" s="10"/>
      <c r="J2" s="10"/>
      <c r="K2" s="10"/>
      <c r="L2" s="10"/>
      <c r="M2" s="10"/>
      <c r="N2" s="10"/>
      <c r="O2" s="10"/>
      <c r="P2" s="10"/>
    </row>
    <row r="3" spans="1:16" x14ac:dyDescent="0.2">
      <c r="A3" s="10"/>
      <c r="B3" s="13"/>
      <c r="C3" s="472" t="s">
        <v>239</v>
      </c>
      <c r="D3" s="472"/>
      <c r="E3" s="472"/>
      <c r="F3" s="472"/>
      <c r="G3" s="472"/>
      <c r="H3" s="472"/>
      <c r="I3" s="10"/>
      <c r="J3" s="13"/>
      <c r="K3" s="472" t="s">
        <v>239</v>
      </c>
      <c r="L3" s="473"/>
      <c r="M3" s="473"/>
      <c r="N3" s="473"/>
      <c r="O3" s="473"/>
      <c r="P3" s="473"/>
    </row>
    <row r="4" spans="1:16" x14ac:dyDescent="0.2">
      <c r="A4" s="10"/>
      <c r="B4" s="14" t="s">
        <v>240</v>
      </c>
      <c r="C4" s="14">
        <v>5</v>
      </c>
      <c r="D4" s="14">
        <v>10</v>
      </c>
      <c r="E4" s="14">
        <v>20</v>
      </c>
      <c r="F4" s="14">
        <v>30</v>
      </c>
      <c r="G4" s="14">
        <v>40</v>
      </c>
      <c r="H4" s="14">
        <v>50</v>
      </c>
      <c r="I4" s="10"/>
      <c r="J4" s="14" t="s">
        <v>240</v>
      </c>
      <c r="K4" s="14">
        <v>5</v>
      </c>
      <c r="L4" s="14">
        <v>10</v>
      </c>
      <c r="M4" s="14">
        <v>20</v>
      </c>
      <c r="N4" s="14">
        <v>30</v>
      </c>
      <c r="O4" s="14">
        <v>40</v>
      </c>
      <c r="P4" s="14">
        <v>50</v>
      </c>
    </row>
    <row r="5" spans="1:16" x14ac:dyDescent="0.2">
      <c r="A5" s="10"/>
      <c r="B5" s="14">
        <v>1.2</v>
      </c>
      <c r="C5" s="24">
        <f t="shared" ref="C5:E33" si="0">EXP(-1*LN($B5)*(C$35+(1-C$4/100)/(C$4/100)*NORMDIST(C$35,0,1,0)/(1-NORMDIST(C$35,0,1,1))))</f>
        <v>0.92664500575841957</v>
      </c>
      <c r="D5" s="25">
        <f t="shared" si="0"/>
        <v>0.91730357021341469</v>
      </c>
      <c r="E5" s="25">
        <f t="shared" si="0"/>
        <v>0.90323747799907983</v>
      </c>
      <c r="F5" s="25">
        <f t="shared" ref="F5:H20" si="1">EXP(-1*LN($B5)*(F$35+(1-F$4/100)/(F$4/100)*NORMDIST(F$35,0,1,0)/(1-NORMDIST(F$35,0,1,1))))</f>
        <v>0.8907453651437337</v>
      </c>
      <c r="G5" s="25">
        <f t="shared" si="1"/>
        <v>0.8781781582962267</v>
      </c>
      <c r="H5" s="26">
        <f t="shared" si="1"/>
        <v>0.86461448345192582</v>
      </c>
      <c r="I5" s="10"/>
      <c r="J5" s="14">
        <v>1.2</v>
      </c>
      <c r="K5" s="15">
        <f t="shared" ref="K5:P33" si="2">1/C5</f>
        <v>1.0791619161445136</v>
      </c>
      <c r="L5" s="16">
        <f t="shared" si="2"/>
        <v>1.0901516493251473</v>
      </c>
      <c r="M5" s="16">
        <f t="shared" si="2"/>
        <v>1.1071285507497717</v>
      </c>
      <c r="N5" s="16">
        <f t="shared" si="2"/>
        <v>1.1226552942418473</v>
      </c>
      <c r="O5" s="16">
        <f t="shared" si="2"/>
        <v>1.138721101809367</v>
      </c>
      <c r="P5" s="17">
        <f t="shared" si="2"/>
        <v>1.1565848353679606</v>
      </c>
    </row>
    <row r="6" spans="1:16" x14ac:dyDescent="0.2">
      <c r="A6" s="10"/>
      <c r="B6" s="14">
        <f t="shared" ref="B6:B33" si="3">B5+0.1</f>
        <v>1.3</v>
      </c>
      <c r="C6" s="27">
        <f t="shared" si="0"/>
        <v>0.8961644754011141</v>
      </c>
      <c r="D6" s="28">
        <f t="shared" si="0"/>
        <v>0.88319296057359276</v>
      </c>
      <c r="E6" s="28">
        <f t="shared" si="0"/>
        <v>0.86377005924888539</v>
      </c>
      <c r="F6" s="28">
        <f t="shared" si="1"/>
        <v>0.84663147921669613</v>
      </c>
      <c r="G6" s="28">
        <f t="shared" si="1"/>
        <v>0.82949602598891359</v>
      </c>
      <c r="H6" s="29">
        <f t="shared" si="1"/>
        <v>0.81112233149706259</v>
      </c>
      <c r="I6" s="10"/>
      <c r="J6" s="14">
        <f t="shared" ref="J6:J33" si="4">J5+0.1</f>
        <v>1.3</v>
      </c>
      <c r="K6" s="18">
        <f t="shared" si="2"/>
        <v>1.1158665930742346</v>
      </c>
      <c r="L6" s="19">
        <f t="shared" si="2"/>
        <v>1.1322554013004662</v>
      </c>
      <c r="M6" s="19">
        <f t="shared" si="2"/>
        <v>1.1577155161751926</v>
      </c>
      <c r="N6" s="19">
        <f t="shared" si="2"/>
        <v>1.181151450835729</v>
      </c>
      <c r="O6" s="19">
        <f t="shared" si="2"/>
        <v>1.2055512849598211</v>
      </c>
      <c r="P6" s="20">
        <f t="shared" si="2"/>
        <v>1.2328596577464856</v>
      </c>
    </row>
    <row r="7" spans="1:16" x14ac:dyDescent="0.2">
      <c r="A7" s="10"/>
      <c r="B7" s="14">
        <f t="shared" si="3"/>
        <v>1.4000000000000001</v>
      </c>
      <c r="C7" s="27">
        <f t="shared" si="0"/>
        <v>0.868838503226533</v>
      </c>
      <c r="D7" s="28">
        <f t="shared" si="0"/>
        <v>0.85274336273270146</v>
      </c>
      <c r="E7" s="28">
        <f t="shared" si="0"/>
        <v>0.82876810729825601</v>
      </c>
      <c r="F7" s="28">
        <f t="shared" si="1"/>
        <v>0.80773856973323821</v>
      </c>
      <c r="G7" s="28">
        <f t="shared" si="1"/>
        <v>0.78683274574886508</v>
      </c>
      <c r="H7" s="29">
        <f t="shared" si="1"/>
        <v>0.76455141502211765</v>
      </c>
      <c r="I7" s="10"/>
      <c r="J7" s="14">
        <f t="shared" si="4"/>
        <v>1.4000000000000001</v>
      </c>
      <c r="K7" s="18">
        <f t="shared" si="2"/>
        <v>1.1509618833493032</v>
      </c>
      <c r="L7" s="19">
        <f t="shared" si="2"/>
        <v>1.1726857618632174</v>
      </c>
      <c r="M7" s="19">
        <f t="shared" si="2"/>
        <v>1.2066101376173266</v>
      </c>
      <c r="N7" s="19">
        <f t="shared" si="2"/>
        <v>1.2380243280078325</v>
      </c>
      <c r="O7" s="19">
        <f t="shared" si="2"/>
        <v>1.2709181276489119</v>
      </c>
      <c r="P7" s="20">
        <f t="shared" si="2"/>
        <v>1.3079565093357013</v>
      </c>
    </row>
    <row r="8" spans="1:16" x14ac:dyDescent="0.2">
      <c r="A8" s="10"/>
      <c r="B8" s="14">
        <f t="shared" si="3"/>
        <v>1.5000000000000002</v>
      </c>
      <c r="C8" s="27">
        <f t="shared" si="0"/>
        <v>0.84414810677696606</v>
      </c>
      <c r="D8" s="28">
        <f t="shared" si="0"/>
        <v>0.82533983419383483</v>
      </c>
      <c r="E8" s="28">
        <f t="shared" si="0"/>
        <v>0.79745816198122399</v>
      </c>
      <c r="F8" s="28">
        <f t="shared" si="1"/>
        <v>0.77313780954705491</v>
      </c>
      <c r="G8" s="28">
        <f t="shared" si="1"/>
        <v>0.74908888404706775</v>
      </c>
      <c r="H8" s="29">
        <f t="shared" si="1"/>
        <v>0.72360157437964279</v>
      </c>
      <c r="I8" s="10"/>
      <c r="J8" s="14">
        <f t="shared" si="4"/>
        <v>1.5000000000000002</v>
      </c>
      <c r="K8" s="18">
        <f t="shared" si="2"/>
        <v>1.1846262426839889</v>
      </c>
      <c r="L8" s="19">
        <f t="shared" si="2"/>
        <v>1.2116221204526831</v>
      </c>
      <c r="M8" s="19">
        <f t="shared" si="2"/>
        <v>1.2539842811509714</v>
      </c>
      <c r="N8" s="19">
        <f t="shared" si="2"/>
        <v>1.2934304695120951</v>
      </c>
      <c r="O8" s="19">
        <f t="shared" si="2"/>
        <v>1.3349550651417312</v>
      </c>
      <c r="P8" s="20">
        <f t="shared" si="2"/>
        <v>1.3819759870717787</v>
      </c>
    </row>
    <row r="9" spans="1:16" x14ac:dyDescent="0.2">
      <c r="A9" s="10"/>
      <c r="B9" s="14">
        <f t="shared" si="3"/>
        <v>1.6000000000000003</v>
      </c>
      <c r="C9" s="27">
        <f t="shared" si="0"/>
        <v>0.82168733167763419</v>
      </c>
      <c r="D9" s="28">
        <f t="shared" si="0"/>
        <v>0.80050328531355064</v>
      </c>
      <c r="E9" s="28">
        <f t="shared" si="0"/>
        <v>0.76924131198428936</v>
      </c>
      <c r="F9" s="28">
        <f t="shared" si="1"/>
        <v>0.74211393902284839</v>
      </c>
      <c r="G9" s="28">
        <f t="shared" si="1"/>
        <v>0.71542255541604172</v>
      </c>
      <c r="H9" s="29">
        <f t="shared" si="1"/>
        <v>0.68728334112076928</v>
      </c>
      <c r="I9" s="10"/>
      <c r="J9" s="14">
        <f t="shared" si="4"/>
        <v>1.6000000000000003</v>
      </c>
      <c r="K9" s="18">
        <f t="shared" si="2"/>
        <v>1.2170079316645979</v>
      </c>
      <c r="L9" s="19">
        <f t="shared" si="2"/>
        <v>1.2492141111055004</v>
      </c>
      <c r="M9" s="19">
        <f t="shared" si="2"/>
        <v>1.2999821829907434</v>
      </c>
      <c r="N9" s="19">
        <f t="shared" si="2"/>
        <v>1.3475019770100447</v>
      </c>
      <c r="O9" s="19">
        <f t="shared" si="2"/>
        <v>1.3977753321160906</v>
      </c>
      <c r="P9" s="20">
        <f t="shared" si="2"/>
        <v>1.4550039847747165</v>
      </c>
    </row>
    <row r="10" spans="1:16" x14ac:dyDescent="0.2">
      <c r="A10" s="10"/>
      <c r="B10" s="14">
        <f t="shared" si="3"/>
        <v>1.7000000000000004</v>
      </c>
      <c r="C10" s="27">
        <f t="shared" si="0"/>
        <v>0.80113333413796761</v>
      </c>
      <c r="D10" s="28">
        <f t="shared" si="0"/>
        <v>0.77785413190606012</v>
      </c>
      <c r="E10" s="28">
        <f t="shared" si="0"/>
        <v>0.74364573683119306</v>
      </c>
      <c r="F10" s="28">
        <f t="shared" si="1"/>
        <v>0.71410636842507524</v>
      </c>
      <c r="G10" s="28">
        <f t="shared" si="1"/>
        <v>0.68517737892700004</v>
      </c>
      <c r="H10" s="29">
        <f t="shared" si="1"/>
        <v>0.65482969221041598</v>
      </c>
      <c r="I10" s="10"/>
      <c r="J10" s="14">
        <f t="shared" si="4"/>
        <v>1.7000000000000004</v>
      </c>
      <c r="K10" s="18">
        <f t="shared" si="2"/>
        <v>1.2482316705445993</v>
      </c>
      <c r="L10" s="19">
        <f t="shared" si="2"/>
        <v>1.2855880800550508</v>
      </c>
      <c r="M10" s="19">
        <f t="shared" si="2"/>
        <v>1.3447263266258718</v>
      </c>
      <c r="N10" s="19">
        <f t="shared" si="2"/>
        <v>1.400351606169608</v>
      </c>
      <c r="O10" s="19">
        <f t="shared" si="2"/>
        <v>1.4594760871498966</v>
      </c>
      <c r="P10" s="20">
        <f t="shared" si="2"/>
        <v>1.5271146252156671</v>
      </c>
    </row>
    <row r="11" spans="1:16" x14ac:dyDescent="0.2">
      <c r="A11" s="10"/>
      <c r="B11" s="14">
        <f t="shared" si="3"/>
        <v>1.8000000000000005</v>
      </c>
      <c r="C11" s="27">
        <f t="shared" si="0"/>
        <v>0.78222562726530065</v>
      </c>
      <c r="D11" s="28">
        <f t="shared" si="0"/>
        <v>0.7570871765453524</v>
      </c>
      <c r="E11" s="28">
        <f t="shared" si="0"/>
        <v>0.72029409903770247</v>
      </c>
      <c r="F11" s="28">
        <f t="shared" si="1"/>
        <v>0.68866892047141781</v>
      </c>
      <c r="G11" s="28">
        <f t="shared" si="1"/>
        <v>0.65783349659262957</v>
      </c>
      <c r="H11" s="29">
        <f t="shared" si="1"/>
        <v>0.62563640145725508</v>
      </c>
      <c r="I11" s="10"/>
      <c r="J11" s="14">
        <f t="shared" si="4"/>
        <v>1.8000000000000005</v>
      </c>
      <c r="K11" s="18">
        <f t="shared" si="2"/>
        <v>1.2784035259699293</v>
      </c>
      <c r="L11" s="19">
        <f t="shared" si="2"/>
        <v>1.3208518529703246</v>
      </c>
      <c r="M11" s="19">
        <f t="shared" si="2"/>
        <v>1.388321799853669</v>
      </c>
      <c r="N11" s="19">
        <f t="shared" si="2"/>
        <v>1.4520765643314719</v>
      </c>
      <c r="O11" s="19">
        <f t="shared" si="2"/>
        <v>1.5201415026441876</v>
      </c>
      <c r="P11" s="20">
        <f t="shared" si="2"/>
        <v>1.5983724694898884</v>
      </c>
    </row>
    <row r="12" spans="1:16" x14ac:dyDescent="0.2">
      <c r="A12" s="10"/>
      <c r="B12" s="14">
        <f t="shared" si="3"/>
        <v>1.9000000000000006</v>
      </c>
      <c r="C12" s="27">
        <f t="shared" si="0"/>
        <v>0.76475134369635267</v>
      </c>
      <c r="D12" s="28">
        <f t="shared" si="0"/>
        <v>0.73795383465871489</v>
      </c>
      <c r="E12" s="28">
        <f t="shared" si="0"/>
        <v>0.69888059529889512</v>
      </c>
      <c r="F12" s="28">
        <f t="shared" si="1"/>
        <v>0.66544163560082681</v>
      </c>
      <c r="G12" s="28">
        <f t="shared" si="1"/>
        <v>0.63297343876293055</v>
      </c>
      <c r="H12" s="29">
        <f t="shared" si="1"/>
        <v>0.59922069715138859</v>
      </c>
      <c r="I12" s="10"/>
      <c r="J12" s="14">
        <f t="shared" si="4"/>
        <v>1.9000000000000006</v>
      </c>
      <c r="K12" s="18">
        <f t="shared" si="2"/>
        <v>1.3076145707264735</v>
      </c>
      <c r="L12" s="19">
        <f t="shared" si="2"/>
        <v>1.3550983178540903</v>
      </c>
      <c r="M12" s="19">
        <f t="shared" si="2"/>
        <v>1.430859587069123</v>
      </c>
      <c r="N12" s="19">
        <f t="shared" si="2"/>
        <v>1.5027613940884548</v>
      </c>
      <c r="O12" s="19">
        <f t="shared" si="2"/>
        <v>1.5798451226553489</v>
      </c>
      <c r="P12" s="20">
        <f t="shared" si="2"/>
        <v>1.6688342120922395</v>
      </c>
    </row>
    <row r="13" spans="1:16" x14ac:dyDescent="0.2">
      <c r="A13" s="10"/>
      <c r="B13" s="14">
        <f t="shared" si="3"/>
        <v>2.0000000000000004</v>
      </c>
      <c r="C13" s="27">
        <f t="shared" si="0"/>
        <v>0.74853455324090223</v>
      </c>
      <c r="D13" s="28">
        <f t="shared" si="0"/>
        <v>0.72024929393722315</v>
      </c>
      <c r="E13" s="28">
        <f t="shared" si="0"/>
        <v>0.67915446127628654</v>
      </c>
      <c r="F13" s="28">
        <f t="shared" si="1"/>
        <v>0.64413059860028399</v>
      </c>
      <c r="G13" s="28">
        <f t="shared" si="1"/>
        <v>0.61025781454009875</v>
      </c>
      <c r="H13" s="29">
        <f t="shared" si="1"/>
        <v>0.57519196959825347</v>
      </c>
      <c r="I13" s="10"/>
      <c r="J13" s="14">
        <f t="shared" si="4"/>
        <v>2.0000000000000004</v>
      </c>
      <c r="K13" s="18">
        <f t="shared" si="2"/>
        <v>1.335943672433473</v>
      </c>
      <c r="L13" s="19">
        <f t="shared" si="2"/>
        <v>1.3884081642531396</v>
      </c>
      <c r="M13" s="19">
        <f t="shared" si="2"/>
        <v>1.4724190990673482</v>
      </c>
      <c r="N13" s="19">
        <f t="shared" si="2"/>
        <v>1.5524801991599706</v>
      </c>
      <c r="O13" s="19">
        <f t="shared" si="2"/>
        <v>1.6386516914226128</v>
      </c>
      <c r="P13" s="20">
        <f t="shared" si="2"/>
        <v>1.7385500021818046</v>
      </c>
    </row>
    <row r="14" spans="1:16" x14ac:dyDescent="0.2">
      <c r="A14" s="10"/>
      <c r="B14" s="14">
        <f t="shared" si="3"/>
        <v>2.1000000000000005</v>
      </c>
      <c r="C14" s="27">
        <f t="shared" si="0"/>
        <v>0.73342837759361068</v>
      </c>
      <c r="D14" s="28">
        <f t="shared" si="0"/>
        <v>0.7038030656077009</v>
      </c>
      <c r="E14" s="28">
        <f t="shared" si="0"/>
        <v>0.66090789155472507</v>
      </c>
      <c r="F14" s="28">
        <f t="shared" si="1"/>
        <v>0.62449322849022681</v>
      </c>
      <c r="G14" s="28">
        <f t="shared" si="1"/>
        <v>0.58940766344470752</v>
      </c>
      <c r="H14" s="29">
        <f t="shared" si="1"/>
        <v>0.55323060760418796</v>
      </c>
      <c r="I14" s="10"/>
      <c r="J14" s="14">
        <f t="shared" si="4"/>
        <v>2.1000000000000005</v>
      </c>
      <c r="K14" s="18">
        <f t="shared" si="2"/>
        <v>1.3634596513445727</v>
      </c>
      <c r="L14" s="19">
        <f t="shared" si="2"/>
        <v>1.4208520094133819</v>
      </c>
      <c r="M14" s="19">
        <f t="shared" si="2"/>
        <v>1.5130701460495379</v>
      </c>
      <c r="N14" s="19">
        <f t="shared" si="2"/>
        <v>1.6012983878425671</v>
      </c>
      <c r="O14" s="19">
        <f t="shared" si="2"/>
        <v>1.6966185918853602</v>
      </c>
      <c r="P14" s="20">
        <f t="shared" si="2"/>
        <v>1.8075644880361641</v>
      </c>
    </row>
    <row r="15" spans="1:16" x14ac:dyDescent="0.2">
      <c r="A15" s="10"/>
      <c r="B15" s="14">
        <f t="shared" si="3"/>
        <v>2.2000000000000006</v>
      </c>
      <c r="C15" s="27">
        <f t="shared" si="0"/>
        <v>0.71930907446098291</v>
      </c>
      <c r="D15" s="28">
        <f t="shared" si="0"/>
        <v>0.68847191659938867</v>
      </c>
      <c r="E15" s="28">
        <f t="shared" si="0"/>
        <v>0.64396704433062246</v>
      </c>
      <c r="F15" s="28">
        <f t="shared" si="1"/>
        <v>0.60632736933931441</v>
      </c>
      <c r="G15" s="28">
        <f t="shared" si="1"/>
        <v>0.57019142157915836</v>
      </c>
      <c r="H15" s="29">
        <f t="shared" si="1"/>
        <v>0.53307243969159879</v>
      </c>
      <c r="I15" s="10"/>
      <c r="J15" s="14">
        <f t="shared" si="4"/>
        <v>2.2000000000000006</v>
      </c>
      <c r="K15" s="18">
        <f t="shared" si="2"/>
        <v>1.3902229729957931</v>
      </c>
      <c r="L15" s="19">
        <f t="shared" si="2"/>
        <v>1.4524920710482441</v>
      </c>
      <c r="M15" s="19">
        <f t="shared" si="2"/>
        <v>1.5528744969231449</v>
      </c>
      <c r="N15" s="19">
        <f t="shared" si="2"/>
        <v>1.6492740565045771</v>
      </c>
      <c r="O15" s="19">
        <f t="shared" si="2"/>
        <v>1.7537969919478564</v>
      </c>
      <c r="P15" s="20">
        <f t="shared" si="2"/>
        <v>1.8759176531027102</v>
      </c>
    </row>
    <row r="16" spans="1:16" x14ac:dyDescent="0.2">
      <c r="A16" s="10"/>
      <c r="B16" s="14">
        <f t="shared" si="3"/>
        <v>2.3000000000000007</v>
      </c>
      <c r="C16" s="27">
        <f t="shared" si="0"/>
        <v>0.70607153406234735</v>
      </c>
      <c r="D16" s="28">
        <f t="shared" si="0"/>
        <v>0.67413450422774468</v>
      </c>
      <c r="E16" s="28">
        <f t="shared" si="0"/>
        <v>0.62818524216342386</v>
      </c>
      <c r="F16" s="28">
        <f t="shared" si="1"/>
        <v>0.58946307623016647</v>
      </c>
      <c r="G16" s="28">
        <f t="shared" si="1"/>
        <v>0.55241514651821366</v>
      </c>
      <c r="H16" s="29">
        <f t="shared" si="1"/>
        <v>0.51449711570372414</v>
      </c>
      <c r="I16" s="10"/>
      <c r="J16" s="14">
        <f t="shared" si="4"/>
        <v>2.3000000000000007</v>
      </c>
      <c r="K16" s="18">
        <f t="shared" si="2"/>
        <v>1.4162870923949447</v>
      </c>
      <c r="L16" s="19">
        <f t="shared" si="2"/>
        <v>1.483383499477676</v>
      </c>
      <c r="M16" s="19">
        <f t="shared" si="2"/>
        <v>1.5918871264088812</v>
      </c>
      <c r="N16" s="19">
        <f t="shared" si="2"/>
        <v>1.6964591003653162</v>
      </c>
      <c r="O16" s="19">
        <f t="shared" si="2"/>
        <v>1.8102327684221617</v>
      </c>
      <c r="P16" s="20">
        <f t="shared" si="2"/>
        <v>1.9436454928074955</v>
      </c>
    </row>
    <row r="17" spans="1:16" x14ac:dyDescent="0.2">
      <c r="A17" s="10"/>
      <c r="B17" s="14">
        <f t="shared" si="3"/>
        <v>2.4000000000000008</v>
      </c>
      <c r="C17" s="27">
        <f t="shared" si="0"/>
        <v>0.69362580539829188</v>
      </c>
      <c r="D17" s="28">
        <f t="shared" si="0"/>
        <v>0.66068724877230589</v>
      </c>
      <c r="E17" s="28">
        <f t="shared" si="0"/>
        <v>0.61343776277501672</v>
      </c>
      <c r="F17" s="28">
        <f t="shared" si="1"/>
        <v>0.57375634525046171</v>
      </c>
      <c r="G17" s="28">
        <f t="shared" si="1"/>
        <v>0.53591508365870411</v>
      </c>
      <c r="H17" s="29">
        <f t="shared" si="1"/>
        <v>0.49731930767988974</v>
      </c>
      <c r="I17" s="10"/>
      <c r="J17" s="14">
        <f t="shared" si="4"/>
        <v>2.4000000000000008</v>
      </c>
      <c r="K17" s="18">
        <f t="shared" si="2"/>
        <v>1.4416995334044453</v>
      </c>
      <c r="L17" s="19">
        <f t="shared" si="2"/>
        <v>1.5135754501970602</v>
      </c>
      <c r="M17" s="19">
        <f t="shared" si="2"/>
        <v>1.6301572232467176</v>
      </c>
      <c r="N17" s="19">
        <f t="shared" si="2"/>
        <v>1.7429001147925784</v>
      </c>
      <c r="O17" s="19">
        <f t="shared" si="2"/>
        <v>1.865967259538541</v>
      </c>
      <c r="P17" s="20">
        <f t="shared" si="2"/>
        <v>2.01078056805241</v>
      </c>
    </row>
    <row r="18" spans="1:16" x14ac:dyDescent="0.2">
      <c r="A18" s="10"/>
      <c r="B18" s="14">
        <f t="shared" si="3"/>
        <v>2.5000000000000009</v>
      </c>
      <c r="C18" s="27">
        <f t="shared" si="0"/>
        <v>0.68189438463361451</v>
      </c>
      <c r="D18" s="28">
        <f t="shared" si="0"/>
        <v>0.64804111979862111</v>
      </c>
      <c r="E18" s="28">
        <f t="shared" si="0"/>
        <v>0.59961779884347055</v>
      </c>
      <c r="F18" s="28">
        <f t="shared" si="1"/>
        <v>0.55908426757145979</v>
      </c>
      <c r="G18" s="28">
        <f t="shared" si="1"/>
        <v>0.52055194148958051</v>
      </c>
      <c r="H18" s="29">
        <f t="shared" si="1"/>
        <v>0.48138196009639933</v>
      </c>
      <c r="I18" s="10"/>
      <c r="J18" s="14">
        <f t="shared" si="4"/>
        <v>2.5000000000000009</v>
      </c>
      <c r="K18" s="18">
        <f t="shared" si="2"/>
        <v>1.4665027642621009</v>
      </c>
      <c r="L18" s="19">
        <f t="shared" si="2"/>
        <v>1.5431119560912279</v>
      </c>
      <c r="M18" s="19">
        <f t="shared" si="2"/>
        <v>1.6677290132627445</v>
      </c>
      <c r="N18" s="19">
        <f t="shared" si="2"/>
        <v>1.7886391336743959</v>
      </c>
      <c r="O18" s="19">
        <f t="shared" si="2"/>
        <v>1.9210378836326292</v>
      </c>
      <c r="P18" s="20">
        <f t="shared" si="2"/>
        <v>2.0773524620651438</v>
      </c>
    </row>
    <row r="19" spans="1:16" x14ac:dyDescent="0.2">
      <c r="A19" s="10"/>
      <c r="B19" s="14">
        <f t="shared" si="3"/>
        <v>2.600000000000001</v>
      </c>
      <c r="C19" s="27">
        <f t="shared" si="0"/>
        <v>0.67081007522474034</v>
      </c>
      <c r="D19" s="28">
        <f t="shared" si="0"/>
        <v>0.63611910626345591</v>
      </c>
      <c r="E19" s="28">
        <f t="shared" si="0"/>
        <v>0.58663328925576275</v>
      </c>
      <c r="F19" s="28">
        <f t="shared" si="1"/>
        <v>0.54534124150169427</v>
      </c>
      <c r="G19" s="28">
        <f t="shared" si="1"/>
        <v>0.50620643198969129</v>
      </c>
      <c r="H19" s="29">
        <f t="shared" si="1"/>
        <v>0.46655105143892284</v>
      </c>
      <c r="I19" s="10"/>
      <c r="J19" s="14">
        <f t="shared" si="4"/>
        <v>2.600000000000001</v>
      </c>
      <c r="K19" s="18">
        <f t="shared" si="2"/>
        <v>1.4907349142974213</v>
      </c>
      <c r="L19" s="19">
        <f t="shared" si="2"/>
        <v>1.5720326431852822</v>
      </c>
      <c r="M19" s="19">
        <f t="shared" si="2"/>
        <v>1.7046424373029672</v>
      </c>
      <c r="N19" s="19">
        <f t="shared" si="2"/>
        <v>1.8337142396315411</v>
      </c>
      <c r="O19" s="19">
        <f t="shared" si="2"/>
        <v>1.9754786521961156</v>
      </c>
      <c r="P19" s="20">
        <f t="shared" si="2"/>
        <v>2.1433881606650114</v>
      </c>
    </row>
    <row r="20" spans="1:16" x14ac:dyDescent="0.2">
      <c r="A20" s="10"/>
      <c r="B20" s="14">
        <f t="shared" si="3"/>
        <v>2.7000000000000011</v>
      </c>
      <c r="C20" s="27">
        <f t="shared" si="0"/>
        <v>0.66031428232842826</v>
      </c>
      <c r="D20" s="28">
        <f t="shared" si="0"/>
        <v>0.62485420476021969</v>
      </c>
      <c r="E20" s="28">
        <f t="shared" si="0"/>
        <v>0.57440440830452799</v>
      </c>
      <c r="F20" s="28">
        <f t="shared" si="1"/>
        <v>0.53243598067640696</v>
      </c>
      <c r="G20" s="28">
        <f t="shared" si="1"/>
        <v>0.49277575985135341</v>
      </c>
      <c r="H20" s="29">
        <f t="shared" si="1"/>
        <v>0.45271148508368397</v>
      </c>
      <c r="I20" s="10"/>
      <c r="J20" s="14">
        <f t="shared" si="4"/>
        <v>2.7000000000000011</v>
      </c>
      <c r="K20" s="18">
        <f t="shared" si="2"/>
        <v>1.5144303656037206</v>
      </c>
      <c r="L20" s="19">
        <f t="shared" si="2"/>
        <v>1.6003733228997603</v>
      </c>
      <c r="M20" s="19">
        <f t="shared" si="2"/>
        <v>1.7409337141957255</v>
      </c>
      <c r="N20" s="19">
        <f t="shared" si="2"/>
        <v>1.8781600723707654</v>
      </c>
      <c r="O20" s="19">
        <f t="shared" si="2"/>
        <v>2.0293205986870206</v>
      </c>
      <c r="P20" s="20">
        <f t="shared" si="2"/>
        <v>2.2089123712316452</v>
      </c>
    </row>
    <row r="21" spans="1:16" x14ac:dyDescent="0.2">
      <c r="A21" s="10"/>
      <c r="B21" s="14">
        <f t="shared" si="3"/>
        <v>2.8000000000000012</v>
      </c>
      <c r="C21" s="27">
        <f t="shared" si="0"/>
        <v>0.65035564085116704</v>
      </c>
      <c r="D21" s="28">
        <f t="shared" si="0"/>
        <v>0.6141878049178815</v>
      </c>
      <c r="E21" s="28">
        <f t="shared" si="0"/>
        <v>0.56286155743511468</v>
      </c>
      <c r="F21" s="28">
        <f t="shared" ref="F21:H33" si="5">EXP(-1*LN($B21)*(F$35+(1-F$4/100)/(F$4/100)*NORMDIST(F$35,0,1,0)/(1-NORMDIST(F$35,0,1,1))))</f>
        <v>0.5202891284348079</v>
      </c>
      <c r="G21" s="28">
        <f t="shared" si="5"/>
        <v>0.4801708318292876</v>
      </c>
      <c r="H21" s="29">
        <f t="shared" si="5"/>
        <v>0.43976383426570359</v>
      </c>
      <c r="I21" s="10"/>
      <c r="J21" s="14">
        <f t="shared" si="4"/>
        <v>2.8000000000000012</v>
      </c>
      <c r="K21" s="18">
        <f t="shared" si="2"/>
        <v>1.5376202452726146</v>
      </c>
      <c r="L21" s="19">
        <f t="shared" si="2"/>
        <v>1.6281664858743046</v>
      </c>
      <c r="M21" s="19">
        <f t="shared" si="2"/>
        <v>1.776635811756033</v>
      </c>
      <c r="N21" s="19">
        <f t="shared" si="2"/>
        <v>1.9220082553104889</v>
      </c>
      <c r="O21" s="19">
        <f t="shared" si="2"/>
        <v>2.0825921395315499</v>
      </c>
      <c r="P21" s="20">
        <f t="shared" si="2"/>
        <v>2.2739477921592886</v>
      </c>
    </row>
    <row r="22" spans="1:16" x14ac:dyDescent="0.2">
      <c r="A22" s="10"/>
      <c r="B22" s="14">
        <f t="shared" si="3"/>
        <v>2.9000000000000012</v>
      </c>
      <c r="C22" s="27">
        <f t="shared" si="0"/>
        <v>0.64088890251725661</v>
      </c>
      <c r="D22" s="28">
        <f t="shared" si="0"/>
        <v>0.60406838244754724</v>
      </c>
      <c r="E22" s="28">
        <f t="shared" si="0"/>
        <v>0.55194374497795384</v>
      </c>
      <c r="F22" s="28">
        <f t="shared" si="5"/>
        <v>0.50883133877873454</v>
      </c>
      <c r="G22" s="28">
        <f t="shared" si="5"/>
        <v>0.46831401865785666</v>
      </c>
      <c r="H22" s="29">
        <f t="shared" si="5"/>
        <v>0.42762174019158666</v>
      </c>
      <c r="I22" s="10"/>
      <c r="J22" s="14">
        <f t="shared" si="4"/>
        <v>2.9000000000000012</v>
      </c>
      <c r="K22" s="18">
        <f t="shared" si="2"/>
        <v>1.5603328378323322</v>
      </c>
      <c r="L22" s="19">
        <f t="shared" si="2"/>
        <v>1.6554417166285516</v>
      </c>
      <c r="M22" s="19">
        <f t="shared" si="2"/>
        <v>1.8117788435847619</v>
      </c>
      <c r="N22" s="19">
        <f t="shared" si="2"/>
        <v>1.9652877560571211</v>
      </c>
      <c r="O22" s="19">
        <f t="shared" si="2"/>
        <v>2.1353193800730219</v>
      </c>
      <c r="P22" s="20">
        <f t="shared" si="2"/>
        <v>2.3385153419748295</v>
      </c>
    </row>
    <row r="23" spans="1:16" x14ac:dyDescent="0.2">
      <c r="A23" s="10"/>
      <c r="B23" s="14">
        <f t="shared" si="3"/>
        <v>3.0000000000000013</v>
      </c>
      <c r="C23" s="27">
        <f t="shared" si="0"/>
        <v>0.63187402597544962</v>
      </c>
      <c r="D23" s="28">
        <f t="shared" si="0"/>
        <v>0.59445043283637422</v>
      </c>
      <c r="E23" s="28">
        <f t="shared" si="0"/>
        <v>0.54159726839073585</v>
      </c>
      <c r="F23" s="28">
        <f t="shared" si="5"/>
        <v>0.4980017200640568</v>
      </c>
      <c r="G23" s="28">
        <f t="shared" si="5"/>
        <v>0.4571373452748449</v>
      </c>
      <c r="H23" s="29">
        <f t="shared" si="5"/>
        <v>0.41620981477182384</v>
      </c>
      <c r="I23" s="10"/>
      <c r="J23" s="14">
        <f t="shared" si="4"/>
        <v>3.0000000000000013</v>
      </c>
      <c r="K23" s="18">
        <f t="shared" si="2"/>
        <v>1.5825939331123151</v>
      </c>
      <c r="L23" s="19">
        <f t="shared" si="2"/>
        <v>1.6822260440262065</v>
      </c>
      <c r="M23" s="19">
        <f t="shared" si="2"/>
        <v>1.8463904054969293</v>
      </c>
      <c r="N23" s="19">
        <f t="shared" si="2"/>
        <v>2.008025192907712</v>
      </c>
      <c r="O23" s="19">
        <f t="shared" si="2"/>
        <v>2.1875263754676824</v>
      </c>
      <c r="P23" s="20">
        <f t="shared" si="2"/>
        <v>2.4026343553388423</v>
      </c>
    </row>
    <row r="24" spans="1:16" x14ac:dyDescent="0.2">
      <c r="A24" s="10"/>
      <c r="B24" s="14">
        <f t="shared" si="3"/>
        <v>3.1000000000000014</v>
      </c>
      <c r="C24" s="27">
        <f t="shared" si="0"/>
        <v>0.62327542749295073</v>
      </c>
      <c r="D24" s="28">
        <f t="shared" si="0"/>
        <v>0.58529359498654299</v>
      </c>
      <c r="E24" s="28">
        <f t="shared" si="0"/>
        <v>0.53177463453247864</v>
      </c>
      <c r="F24" s="28">
        <f t="shared" si="5"/>
        <v>0.48774656331149324</v>
      </c>
      <c r="G24" s="28">
        <f t="shared" si="5"/>
        <v>0.44658101615703044</v>
      </c>
      <c r="H24" s="29">
        <f t="shared" si="5"/>
        <v>0.40546193693715221</v>
      </c>
      <c r="I24" s="10"/>
      <c r="J24" s="14">
        <f t="shared" si="4"/>
        <v>3.1000000000000014</v>
      </c>
      <c r="K24" s="18">
        <f t="shared" si="2"/>
        <v>1.6044271214451336</v>
      </c>
      <c r="L24" s="19">
        <f t="shared" si="2"/>
        <v>1.708544239277028</v>
      </c>
      <c r="M24" s="19">
        <f t="shared" si="2"/>
        <v>1.8804958624609314</v>
      </c>
      <c r="N24" s="19">
        <f t="shared" si="2"/>
        <v>2.0502450969836206</v>
      </c>
      <c r="O24" s="19">
        <f t="shared" si="2"/>
        <v>2.2392353544387382</v>
      </c>
      <c r="P24" s="20">
        <f t="shared" si="2"/>
        <v>2.466322751659431</v>
      </c>
    </row>
    <row r="25" spans="1:16" x14ac:dyDescent="0.2">
      <c r="A25" s="10"/>
      <c r="B25" s="14">
        <f t="shared" si="3"/>
        <v>3.2000000000000015</v>
      </c>
      <c r="C25" s="27">
        <f t="shared" si="0"/>
        <v>0.61506135972102693</v>
      </c>
      <c r="D25" s="28">
        <f t="shared" si="0"/>
        <v>0.57656192604151235</v>
      </c>
      <c r="E25" s="28">
        <f t="shared" si="0"/>
        <v>0.52243366883215392</v>
      </c>
      <c r="F25" s="28">
        <f t="shared" si="5"/>
        <v>0.47801829577240201</v>
      </c>
      <c r="G25" s="28">
        <f t="shared" si="5"/>
        <v>0.43659220514088626</v>
      </c>
      <c r="H25" s="29">
        <f t="shared" si="5"/>
        <v>0.39531985865132363</v>
      </c>
      <c r="I25" s="10"/>
      <c r="J25" s="14">
        <f t="shared" si="4"/>
        <v>3.2000000000000015</v>
      </c>
      <c r="K25" s="18">
        <f t="shared" si="2"/>
        <v>1.6258540456086681</v>
      </c>
      <c r="L25" s="19">
        <f t="shared" si="2"/>
        <v>1.7344190707591056</v>
      </c>
      <c r="M25" s="19">
        <f t="shared" si="2"/>
        <v>1.914118594682835</v>
      </c>
      <c r="N25" s="19">
        <f t="shared" si="2"/>
        <v>2.0919701376370083</v>
      </c>
      <c r="O25" s="19">
        <f t="shared" si="2"/>
        <v>2.2904669122008365</v>
      </c>
      <c r="P25" s="20">
        <f t="shared" si="2"/>
        <v>2.5295971809046174</v>
      </c>
    </row>
    <row r="26" spans="1:16" x14ac:dyDescent="0.2">
      <c r="A26" s="10"/>
      <c r="B26" s="14">
        <f t="shared" si="3"/>
        <v>3.3000000000000016</v>
      </c>
      <c r="C26" s="27">
        <f t="shared" si="0"/>
        <v>0.60720339339373042</v>
      </c>
      <c r="D26" s="28">
        <f t="shared" si="0"/>
        <v>0.56822329749325107</v>
      </c>
      <c r="E26" s="28">
        <f t="shared" si="0"/>
        <v>0.51353677554837962</v>
      </c>
      <c r="F26" s="28">
        <f t="shared" si="5"/>
        <v>0.46877461419942568</v>
      </c>
      <c r="G26" s="28">
        <f t="shared" si="5"/>
        <v>0.42712405568394296</v>
      </c>
      <c r="H26" s="29">
        <f t="shared" si="5"/>
        <v>0.3857320566192381</v>
      </c>
      <c r="I26" s="10"/>
      <c r="J26" s="14">
        <f t="shared" si="4"/>
        <v>3.3000000000000016</v>
      </c>
      <c r="K26" s="18">
        <f t="shared" si="2"/>
        <v>1.646894616992971</v>
      </c>
      <c r="L26" s="19">
        <f t="shared" si="2"/>
        <v>1.7598715230641828</v>
      </c>
      <c r="M26" s="19">
        <f t="shared" si="2"/>
        <v>1.947280209741846</v>
      </c>
      <c r="N26" s="19">
        <f t="shared" si="2"/>
        <v>2.1332213172588328</v>
      </c>
      <c r="O26" s="19">
        <f t="shared" si="2"/>
        <v>2.3412401776311222</v>
      </c>
      <c r="P26" s="20">
        <f t="shared" si="2"/>
        <v>2.5924731503119922</v>
      </c>
    </row>
    <row r="27" spans="1:16" x14ac:dyDescent="0.2">
      <c r="A27" s="10"/>
      <c r="B27" s="14">
        <f t="shared" si="3"/>
        <v>3.4000000000000017</v>
      </c>
      <c r="C27" s="27">
        <f t="shared" si="0"/>
        <v>0.59967598235535802</v>
      </c>
      <c r="D27" s="28">
        <f t="shared" si="0"/>
        <v>0.56024888929149141</v>
      </c>
      <c r="E27" s="28">
        <f t="shared" si="0"/>
        <v>0.50505031977799608</v>
      </c>
      <c r="F27" s="28">
        <f t="shared" si="5"/>
        <v>0.45997776255791867</v>
      </c>
      <c r="G27" s="28">
        <f t="shared" si="5"/>
        <v>0.41813484983630417</v>
      </c>
      <c r="H27" s="29">
        <f t="shared" si="5"/>
        <v>0.37665278041392725</v>
      </c>
      <c r="I27" s="10"/>
      <c r="J27" s="14">
        <f t="shared" si="4"/>
        <v>3.4000000000000017</v>
      </c>
      <c r="K27" s="18">
        <f t="shared" si="2"/>
        <v>1.6675672019951211</v>
      </c>
      <c r="L27" s="19">
        <f t="shared" si="2"/>
        <v>1.7849209862149515</v>
      </c>
      <c r="M27" s="19">
        <f t="shared" si="2"/>
        <v>1.9800007263426107</v>
      </c>
      <c r="N27" s="19">
        <f t="shared" si="2"/>
        <v>2.1740181404401779</v>
      </c>
      <c r="O27" s="19">
        <f t="shared" si="2"/>
        <v>2.3915729587990344</v>
      </c>
      <c r="P27" s="20">
        <f t="shared" si="2"/>
        <v>2.6549651350005634</v>
      </c>
    </row>
    <row r="28" spans="1:16" x14ac:dyDescent="0.2">
      <c r="A28" s="10"/>
      <c r="B28" s="14">
        <f t="shared" si="3"/>
        <v>3.5000000000000018</v>
      </c>
      <c r="C28" s="27">
        <f t="shared" si="0"/>
        <v>0.59245609650364739</v>
      </c>
      <c r="D28" s="28">
        <f t="shared" si="0"/>
        <v>0.55261276368614154</v>
      </c>
      <c r="E28" s="28">
        <f t="shared" si="0"/>
        <v>0.49694410824984947</v>
      </c>
      <c r="F28" s="28">
        <f t="shared" si="5"/>
        <v>0.45159392664852593</v>
      </c>
      <c r="G28" s="28">
        <f t="shared" si="5"/>
        <v>0.40958731342714921</v>
      </c>
      <c r="H28" s="29">
        <f t="shared" si="5"/>
        <v>0.36804125875782262</v>
      </c>
      <c r="I28" s="10"/>
      <c r="J28" s="14">
        <f t="shared" si="4"/>
        <v>3.5000000000000018</v>
      </c>
      <c r="K28" s="18">
        <f t="shared" si="2"/>
        <v>1.6878887834920668</v>
      </c>
      <c r="L28" s="19">
        <f t="shared" si="2"/>
        <v>1.8095854198690815</v>
      </c>
      <c r="M28" s="19">
        <f t="shared" si="2"/>
        <v>2.0122987342013685</v>
      </c>
      <c r="N28" s="19">
        <f t="shared" si="2"/>
        <v>2.2143787615157557</v>
      </c>
      <c r="O28" s="19">
        <f t="shared" si="2"/>
        <v>2.4414818702090093</v>
      </c>
      <c r="P28" s="20">
        <f t="shared" si="2"/>
        <v>2.7170866749426508</v>
      </c>
    </row>
    <row r="29" spans="1:16" x14ac:dyDescent="0.2">
      <c r="A29" s="10"/>
      <c r="B29" s="14">
        <f t="shared" si="3"/>
        <v>3.6000000000000019</v>
      </c>
      <c r="C29" s="27">
        <f t="shared" si="0"/>
        <v>0.58552291043861637</v>
      </c>
      <c r="D29" s="28">
        <f t="shared" si="0"/>
        <v>0.54529150435571583</v>
      </c>
      <c r="E29" s="28">
        <f t="shared" si="0"/>
        <v>0.48919095079243891</v>
      </c>
      <c r="F29" s="28">
        <f t="shared" si="5"/>
        <v>0.44359272398066568</v>
      </c>
      <c r="G29" s="28">
        <f t="shared" si="5"/>
        <v>0.40144803196188955</v>
      </c>
      <c r="H29" s="29">
        <f t="shared" si="5"/>
        <v>0.35986103400656216</v>
      </c>
      <c r="I29" s="10"/>
      <c r="J29" s="14">
        <f t="shared" si="4"/>
        <v>3.6000000000000019</v>
      </c>
      <c r="K29" s="18">
        <f t="shared" si="2"/>
        <v>1.7078751013361682</v>
      </c>
      <c r="L29" s="19">
        <f t="shared" si="2"/>
        <v>1.8338814964328864</v>
      </c>
      <c r="M29" s="19">
        <f t="shared" si="2"/>
        <v>2.044191533756099</v>
      </c>
      <c r="N29" s="19">
        <f t="shared" si="2"/>
        <v>2.2543201137888498</v>
      </c>
      <c r="O29" s="19">
        <f t="shared" si="2"/>
        <v>2.4909824445096107</v>
      </c>
      <c r="P29" s="20">
        <f t="shared" si="2"/>
        <v>2.7788504603189819</v>
      </c>
    </row>
    <row r="30" spans="1:16" x14ac:dyDescent="0.2">
      <c r="A30" s="10"/>
      <c r="B30" s="14">
        <f t="shared" si="3"/>
        <v>3.700000000000002</v>
      </c>
      <c r="C30" s="27">
        <f t="shared" si="0"/>
        <v>0.57885753807511353</v>
      </c>
      <c r="D30" s="28">
        <f t="shared" si="0"/>
        <v>0.53826390931455814</v>
      </c>
      <c r="E30" s="28">
        <f t="shared" si="0"/>
        <v>0.48176628808697114</v>
      </c>
      <c r="F30" s="28">
        <f t="shared" si="5"/>
        <v>0.43594677172919977</v>
      </c>
      <c r="G30" s="28">
        <f t="shared" si="5"/>
        <v>0.39368695706358176</v>
      </c>
      <c r="H30" s="29">
        <f t="shared" si="5"/>
        <v>0.35207940121408987</v>
      </c>
      <c r="I30" s="10"/>
      <c r="J30" s="14">
        <f t="shared" si="4"/>
        <v>3.700000000000002</v>
      </c>
      <c r="K30" s="18">
        <f t="shared" si="2"/>
        <v>1.7275407751021432</v>
      </c>
      <c r="L30" s="19">
        <f t="shared" si="2"/>
        <v>1.8578247263009531</v>
      </c>
      <c r="M30" s="19">
        <f t="shared" si="2"/>
        <v>2.0756952587339912</v>
      </c>
      <c r="N30" s="19">
        <f t="shared" si="2"/>
        <v>2.2938580231560408</v>
      </c>
      <c r="O30" s="19">
        <f t="shared" si="2"/>
        <v>2.5400892309431948</v>
      </c>
      <c r="P30" s="20">
        <f t="shared" si="2"/>
        <v>2.8402684069322399</v>
      </c>
    </row>
    <row r="31" spans="1:16" x14ac:dyDescent="0.2">
      <c r="A31" s="10"/>
      <c r="B31" s="14">
        <f t="shared" si="3"/>
        <v>3.800000000000002</v>
      </c>
      <c r="C31" s="27">
        <f t="shared" si="0"/>
        <v>0.57244280539412895</v>
      </c>
      <c r="D31" s="28">
        <f t="shared" si="0"/>
        <v>0.53151072837120572</v>
      </c>
      <c r="E31" s="28">
        <f t="shared" si="0"/>
        <v>0.47464787419667154</v>
      </c>
      <c r="F31" s="28">
        <f t="shared" si="5"/>
        <v>0.42863131907311258</v>
      </c>
      <c r="G31" s="28">
        <f t="shared" si="5"/>
        <v>0.38627698740139699</v>
      </c>
      <c r="H31" s="29">
        <f t="shared" si="5"/>
        <v>0.34466693301854573</v>
      </c>
      <c r="I31" s="10"/>
      <c r="J31" s="14">
        <f t="shared" si="4"/>
        <v>3.800000000000002</v>
      </c>
      <c r="K31" s="18">
        <f t="shared" si="2"/>
        <v>1.7468994117438446</v>
      </c>
      <c r="L31" s="19">
        <f t="shared" si="2"/>
        <v>1.8814295678743149</v>
      </c>
      <c r="M31" s="19">
        <f t="shared" si="2"/>
        <v>2.1068249840841959</v>
      </c>
      <c r="N31" s="19">
        <f t="shared" si="2"/>
        <v>2.3330073083843597</v>
      </c>
      <c r="O31" s="19">
        <f t="shared" si="2"/>
        <v>2.588815882424953</v>
      </c>
      <c r="P31" s="20">
        <f t="shared" si="2"/>
        <v>2.9013517230740331</v>
      </c>
    </row>
    <row r="32" spans="1:16" x14ac:dyDescent="0.2">
      <c r="A32" s="10"/>
      <c r="B32" s="14">
        <f t="shared" si="3"/>
        <v>3.9000000000000021</v>
      </c>
      <c r="C32" s="27">
        <f t="shared" si="0"/>
        <v>0.56626305500787877</v>
      </c>
      <c r="D32" s="28">
        <f t="shared" si="0"/>
        <v>0.52501443769101108</v>
      </c>
      <c r="E32" s="28">
        <f t="shared" si="0"/>
        <v>0.46781550460690036</v>
      </c>
      <c r="F32" s="28">
        <f t="shared" si="5"/>
        <v>0.42162393291029143</v>
      </c>
      <c r="G32" s="28">
        <f t="shared" si="5"/>
        <v>0.37919361123660578</v>
      </c>
      <c r="H32" s="29">
        <f t="shared" si="5"/>
        <v>0.33759707534968231</v>
      </c>
      <c r="I32" s="10"/>
      <c r="J32" s="14">
        <f t="shared" si="4"/>
        <v>3.9000000000000021</v>
      </c>
      <c r="K32" s="18">
        <f t="shared" si="2"/>
        <v>1.7659637003619924</v>
      </c>
      <c r="L32" s="19">
        <f t="shared" si="2"/>
        <v>1.9047095245569878</v>
      </c>
      <c r="M32" s="19">
        <f t="shared" si="2"/>
        <v>2.1375948213608007</v>
      </c>
      <c r="N32" s="19">
        <f t="shared" si="2"/>
        <v>2.3717818699176387</v>
      </c>
      <c r="O32" s="19">
        <f t="shared" si="2"/>
        <v>2.6371752328285645</v>
      </c>
      <c r="P32" s="20">
        <f t="shared" si="2"/>
        <v>2.9621109690129934</v>
      </c>
    </row>
    <row r="33" spans="1:16" x14ac:dyDescent="0.2">
      <c r="A33" s="10"/>
      <c r="B33" s="14">
        <f t="shared" si="3"/>
        <v>4.0000000000000018</v>
      </c>
      <c r="C33" s="30">
        <f t="shared" si="0"/>
        <v>0.56030397739555715</v>
      </c>
      <c r="D33" s="31">
        <f t="shared" si="0"/>
        <v>0.51875904541706841</v>
      </c>
      <c r="E33" s="31">
        <f t="shared" si="0"/>
        <v>0.46125078227148297</v>
      </c>
      <c r="F33" s="31">
        <f t="shared" si="5"/>
        <v>0.41490422805316024</v>
      </c>
      <c r="G33" s="31">
        <f t="shared" si="5"/>
        <v>0.37241460020725753</v>
      </c>
      <c r="H33" s="32">
        <f t="shared" si="5"/>
        <v>0.33084580189031815</v>
      </c>
      <c r="I33" s="10"/>
      <c r="J33" s="14">
        <f t="shared" si="4"/>
        <v>4.0000000000000018</v>
      </c>
      <c r="K33" s="21">
        <f t="shared" si="2"/>
        <v>1.7847454959150346</v>
      </c>
      <c r="L33" s="22">
        <f t="shared" si="2"/>
        <v>1.9276772305647736</v>
      </c>
      <c r="M33" s="22">
        <f t="shared" si="2"/>
        <v>2.1680180032983012</v>
      </c>
      <c r="N33" s="22">
        <f t="shared" si="2"/>
        <v>2.4101947687837817</v>
      </c>
      <c r="O33" s="22">
        <f t="shared" si="2"/>
        <v>2.6851793658021901</v>
      </c>
      <c r="P33" s="23">
        <f t="shared" si="2"/>
        <v>3.0225561100863523</v>
      </c>
    </row>
    <row r="34" spans="1:16" x14ac:dyDescent="0.2">
      <c r="A34" s="10"/>
      <c r="B34" s="10"/>
      <c r="C34" s="10"/>
      <c r="D34" s="10"/>
      <c r="E34" s="10"/>
      <c r="F34" s="10"/>
      <c r="G34" s="10"/>
      <c r="H34" s="10"/>
      <c r="I34" s="10"/>
      <c r="J34" s="10"/>
      <c r="K34" s="10"/>
      <c r="L34" s="10"/>
      <c r="M34" s="10"/>
      <c r="N34" s="10"/>
      <c r="O34" s="10"/>
      <c r="P34" s="10"/>
    </row>
    <row r="35" spans="1:16" x14ac:dyDescent="0.2">
      <c r="A35" s="10"/>
      <c r="B35" s="10" t="s">
        <v>241</v>
      </c>
      <c r="C35" s="10">
        <f t="shared" ref="C35:H35" si="6">NORMSINV(C4/100)</f>
        <v>-1.6448536269514726</v>
      </c>
      <c r="D35" s="10">
        <f t="shared" si="6"/>
        <v>-1.2815515655446006</v>
      </c>
      <c r="E35" s="10">
        <f t="shared" si="6"/>
        <v>-0.84162123357291452</v>
      </c>
      <c r="F35" s="10">
        <f t="shared" si="6"/>
        <v>-0.52440051270804089</v>
      </c>
      <c r="G35" s="10">
        <f t="shared" si="6"/>
        <v>-0.25334710313579978</v>
      </c>
      <c r="H35" s="10">
        <f t="shared" si="6"/>
        <v>0</v>
      </c>
      <c r="I35" s="10"/>
      <c r="J35" s="10" t="s">
        <v>241</v>
      </c>
      <c r="K35" s="10">
        <f t="shared" ref="K35:P35" si="7">NORMSINV(K4/100)</f>
        <v>-1.6448536269514726</v>
      </c>
      <c r="L35" s="10">
        <f t="shared" si="7"/>
        <v>-1.2815515655446006</v>
      </c>
      <c r="M35" s="10">
        <f t="shared" si="7"/>
        <v>-0.84162123357291452</v>
      </c>
      <c r="N35" s="10">
        <f t="shared" si="7"/>
        <v>-0.52440051270804089</v>
      </c>
      <c r="O35" s="10">
        <f t="shared" si="7"/>
        <v>-0.25334710313579978</v>
      </c>
      <c r="P35" s="10">
        <f t="shared" si="7"/>
        <v>0</v>
      </c>
    </row>
    <row r="36" spans="1:16" x14ac:dyDescent="0.2">
      <c r="A36" s="10"/>
      <c r="B36" s="10"/>
      <c r="C36" s="10"/>
      <c r="D36" s="10"/>
      <c r="E36" s="10"/>
      <c r="F36" s="10"/>
      <c r="G36" s="10"/>
      <c r="H36" s="10"/>
      <c r="I36" s="10"/>
      <c r="J36" s="10"/>
      <c r="K36" s="10"/>
      <c r="L36" s="10"/>
      <c r="M36" s="10"/>
      <c r="N36" s="10"/>
      <c r="O36" s="10"/>
      <c r="P36" s="10"/>
    </row>
  </sheetData>
  <customSheetViews>
    <customSheetView guid="{4EE4166A-A743-EA44-9468-B79C8EBEBE02}">
      <selection activeCell="I55" sqref="I55"/>
      <pageMargins left="0.7" right="0.7" top="0.75" bottom="0.75" header="0.3" footer="0.3"/>
    </customSheetView>
  </customSheetViews>
  <mergeCells count="2">
    <mergeCell ref="C3:H3"/>
    <mergeCell ref="K3:P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35</vt:i4>
      </vt:variant>
    </vt:vector>
  </HeadingPairs>
  <TitlesOfParts>
    <vt:vector size="44" baseType="lpstr">
      <vt:lpstr>START</vt:lpstr>
      <vt:lpstr>DATA</vt:lpstr>
      <vt:lpstr>STAT</vt:lpstr>
      <vt:lpstr>Lan</vt:lpstr>
      <vt:lpstr>TERM</vt:lpstr>
      <vt:lpstr>Cohen</vt:lpstr>
      <vt:lpstr>MLE</vt:lpstr>
      <vt:lpstr>Beta</vt:lpstr>
      <vt:lpstr>Tabeller beta - substitusjon</vt:lpstr>
      <vt:lpstr>CDAmethod</vt:lpstr>
      <vt:lpstr>Conclutions</vt:lpstr>
      <vt:lpstr>DataGuideText</vt:lpstr>
      <vt:lpstr>DataInCol_D</vt:lpstr>
      <vt:lpstr>DataText</vt:lpstr>
      <vt:lpstr>English</vt:lpstr>
      <vt:lpstr>EnglishCDM</vt:lpstr>
      <vt:lpstr>fractionJ</vt:lpstr>
      <vt:lpstr>GM_beta</vt:lpstr>
      <vt:lpstr>GMnotLOD</vt:lpstr>
      <vt:lpstr>GSD_beta</vt:lpstr>
      <vt:lpstr>GSDnotLOD</vt:lpstr>
      <vt:lpstr>GV</vt:lpstr>
      <vt:lpstr>J</vt:lpstr>
      <vt:lpstr>k</vt:lpstr>
      <vt:lpstr>Lambda_table</vt:lpstr>
      <vt:lpstr>Lang</vt:lpstr>
      <vt:lpstr>LangSelect</vt:lpstr>
      <vt:lpstr>LnMeannotLOD</vt:lpstr>
      <vt:lpstr>M</vt:lpstr>
      <vt:lpstr>MeasurednotLOD</vt:lpstr>
      <vt:lpstr>Metode_substitusjon</vt:lpstr>
      <vt:lpstr>N</vt:lpstr>
      <vt:lpstr>Norsk</vt:lpstr>
      <vt:lpstr>NorskCDM</vt:lpstr>
      <vt:lpstr>DATA!Print_Area</vt:lpstr>
      <vt:lpstr>STAT!Print_Area</vt:lpstr>
      <vt:lpstr>SdlnnotLOD</vt:lpstr>
      <vt:lpstr>SelectCDM</vt:lpstr>
      <vt:lpstr>SelectSTAT</vt:lpstr>
      <vt:lpstr>StatText</vt:lpstr>
      <vt:lpstr>TrueFals</vt:lpstr>
      <vt:lpstr>UsedCDM</vt:lpstr>
      <vt:lpstr>UsedStat</vt:lpstr>
      <vt:lpstr>velgSTAT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Microsoft Office User</cp:lastModifiedBy>
  <cp:lastPrinted>1998-07-28T19:22:50Z</cp:lastPrinted>
  <dcterms:created xsi:type="dcterms:W3CDTF">1998-07-06T01:37:14Z</dcterms:created>
  <dcterms:modified xsi:type="dcterms:W3CDTF">2020-09-03T14:46:27Z</dcterms:modified>
  <cp:category/>
</cp:coreProperties>
</file>